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ebfile\bridge\OE323 - In Service Bridges (Niazi)\Load Rating\Ohio Load Rating Programs\"/>
    </mc:Choice>
  </mc:AlternateContent>
  <bookViews>
    <workbookView xWindow="7260" yWindow="-120" windowWidth="11160" windowHeight="12510"/>
  </bookViews>
  <sheets>
    <sheet name="CMP Input" sheetId="8" r:id="rId1"/>
    <sheet name="CMP LRFR output" sheetId="9" r:id="rId2"/>
    <sheet name="Reference tables" sheetId="10" r:id="rId3"/>
    <sheet name="section property tables" sheetId="11" r:id="rId4"/>
    <sheet name="seam strength tables" sheetId="13" r:id="rId5"/>
    <sheet name="NCSPA Design Data Sheet No 19" sheetId="14" r:id="rId6"/>
  </sheets>
  <definedNames>
    <definedName name="aluminum_corrugation">'Reference tables'!$C$58:$C$65</definedName>
    <definedName name="corrugation" localSheetId="4">'Reference tables'!#REF!</definedName>
    <definedName name="corrugation">'Reference tables'!#REF!</definedName>
    <definedName name="corrugation_all">'Reference tables'!$C$51:$C$65</definedName>
    <definedName name="Fill_Type">'Reference tables'!#REF!</definedName>
    <definedName name="Gage_number">'Reference tables'!$B$39:$B$48</definedName>
    <definedName name="material_type" localSheetId="4">'Reference tables'!#REF!</definedName>
    <definedName name="material_type">'Reference tables'!#REF!</definedName>
    <definedName name="metal_type">'Reference tables'!$C$32:$C$36</definedName>
    <definedName name="MinCover" localSheetId="0">#REF!</definedName>
    <definedName name="MinCover">#REF!</definedName>
    <definedName name="_xlnm.Print_Area" localSheetId="0">'CMP Input'!$A$1:$I$77</definedName>
    <definedName name="_xlnm.Print_Area" localSheetId="4">'seam strength tables'!$A$1:$R$30</definedName>
    <definedName name="_xlnm.Print_Titles" localSheetId="0">'CMP Input'!$2:$6</definedName>
    <definedName name="_xlnm.Print_Titles" localSheetId="1">'CMP LRFR output'!$2:$7</definedName>
    <definedName name="seam_type">'Reference tables'!$C$8:$C$9</definedName>
    <definedName name="steel_corrugation">'Reference tables'!$C$51:$C$57</definedName>
    <definedName name="structure_category">'Reference tables'!$C$11:$C$13</definedName>
    <definedName name="structure_type">'Reference tables'!$C$2:$C$6</definedName>
  </definedNames>
  <calcPr calcId="152511"/>
</workbook>
</file>

<file path=xl/calcChain.xml><?xml version="1.0" encoding="utf-8"?>
<calcChain xmlns="http://schemas.openxmlformats.org/spreadsheetml/2006/main">
  <c r="D40" i="8" l="1"/>
  <c r="D39" i="8"/>
  <c r="D102" i="9" l="1"/>
  <c r="D103" i="9" s="1"/>
  <c r="F137" i="9" l="1"/>
  <c r="C137" i="9"/>
  <c r="E137" i="9"/>
  <c r="D137" i="9"/>
  <c r="G137" i="9"/>
  <c r="G138" i="9" s="1"/>
  <c r="H201" i="9"/>
  <c r="H199" i="9"/>
  <c r="H198" i="9"/>
  <c r="D77" i="8" l="1"/>
  <c r="B216" i="9" s="1"/>
  <c r="B196" i="9" l="1"/>
  <c r="B219" i="9"/>
  <c r="D109" i="9" l="1"/>
  <c r="E62" i="9"/>
  <c r="C221" i="9" l="1"/>
  <c r="C219" i="9"/>
  <c r="C218" i="9"/>
  <c r="C201" i="9"/>
  <c r="C199" i="9"/>
  <c r="C198" i="9"/>
  <c r="G199" i="9" l="1"/>
  <c r="F199" i="9"/>
  <c r="E199" i="9"/>
  <c r="D199" i="9"/>
  <c r="B199" i="9"/>
  <c r="D32" i="9" l="1"/>
  <c r="D33" i="9"/>
  <c r="E32" i="9" l="1"/>
  <c r="B218" i="9"/>
  <c r="G198" i="9"/>
  <c r="F198" i="9"/>
  <c r="E198" i="9"/>
  <c r="D198" i="9"/>
  <c r="B198" i="9"/>
  <c r="F39" i="8" l="1"/>
  <c r="B221" i="9"/>
  <c r="B201" i="9"/>
  <c r="F5" i="9"/>
  <c r="F4" i="9"/>
  <c r="D5" i="9"/>
  <c r="D4" i="9"/>
  <c r="G201" i="9"/>
  <c r="F201" i="9"/>
  <c r="E201" i="9"/>
  <c r="D201" i="9"/>
  <c r="D134" i="9"/>
  <c r="C81" i="9"/>
  <c r="E68" i="9"/>
  <c r="G148" i="9" s="1"/>
  <c r="H164" i="9" s="1"/>
  <c r="H165" i="9" s="1"/>
  <c r="E66" i="9"/>
  <c r="B55" i="9"/>
  <c r="B54" i="9"/>
  <c r="B53" i="9"/>
  <c r="E65" i="9"/>
  <c r="D91" i="9" l="1"/>
  <c r="F85" i="9"/>
  <c r="F138" i="9"/>
  <c r="F148" i="9" s="1"/>
  <c r="E138" i="9"/>
  <c r="E148" i="9" s="1"/>
  <c r="D138" i="9"/>
  <c r="D148" i="9" s="1"/>
  <c r="C138" i="9"/>
  <c r="C148" i="9" s="1"/>
  <c r="B5" i="9" l="1"/>
  <c r="D2" i="9"/>
  <c r="B4" i="9"/>
  <c r="B3" i="9"/>
  <c r="B2" i="9"/>
  <c r="E27" i="9"/>
  <c r="F21" i="9"/>
  <c r="D152" i="9" l="1"/>
  <c r="B129" i="9"/>
  <c r="B128" i="9"/>
  <c r="C29" i="9"/>
  <c r="B59" i="9"/>
  <c r="B58" i="9"/>
  <c r="C48" i="10"/>
  <c r="C39" i="9"/>
  <c r="E42" i="9" s="1"/>
  <c r="E6" i="11"/>
  <c r="B46" i="9"/>
  <c r="B49" i="9" s="1"/>
  <c r="B45" i="9"/>
  <c r="E63" i="9"/>
  <c r="F22" i="9"/>
  <c r="F23" i="9" s="1"/>
  <c r="E60" i="9"/>
  <c r="F19" i="9"/>
  <c r="D164" i="9" l="1"/>
  <c r="G164" i="9"/>
  <c r="G165" i="9" s="1"/>
  <c r="E164" i="9"/>
  <c r="F164" i="9"/>
  <c r="D110" i="9"/>
  <c r="B48" i="9"/>
  <c r="B47" i="9"/>
  <c r="C20" i="10"/>
  <c r="C21" i="10" s="1"/>
  <c r="D31" i="9"/>
  <c r="D90" i="9" s="1"/>
  <c r="E40" i="9"/>
  <c r="F83" i="9" s="1"/>
  <c r="E41" i="9"/>
  <c r="F76" i="9" s="1"/>
  <c r="D151" i="9" l="1"/>
  <c r="C28" i="10"/>
  <c r="C24" i="10"/>
  <c r="C27" i="10"/>
  <c r="C23" i="10"/>
  <c r="C17" i="10"/>
  <c r="B50" i="9" s="1"/>
  <c r="C26" i="10"/>
  <c r="C22" i="10"/>
  <c r="C25" i="10"/>
  <c r="D4" i="10"/>
  <c r="F165" i="9"/>
  <c r="D165" i="9"/>
  <c r="E165" i="9"/>
  <c r="C144" i="9"/>
  <c r="C164" i="9" s="1"/>
  <c r="C165" i="9" s="1"/>
  <c r="C145" i="9"/>
  <c r="C76" i="9"/>
  <c r="C78" i="9" s="1"/>
  <c r="F84" i="9" s="1"/>
  <c r="D190" i="9"/>
  <c r="D111" i="9"/>
  <c r="C93" i="9"/>
  <c r="D5" i="10"/>
  <c r="D3" i="10"/>
  <c r="D2" i="10"/>
  <c r="E162" i="9" l="1"/>
  <c r="D159" i="9"/>
  <c r="C156" i="9"/>
  <c r="B159" i="9"/>
  <c r="H156" i="9"/>
  <c r="H162" i="9"/>
  <c r="G159" i="9"/>
  <c r="F156" i="9"/>
  <c r="F162" i="9"/>
  <c r="D162" i="9"/>
  <c r="C159" i="9"/>
  <c r="B156" i="9"/>
  <c r="B162" i="9"/>
  <c r="G156" i="9"/>
  <c r="F159" i="9"/>
  <c r="E156" i="9"/>
  <c r="D156" i="9"/>
  <c r="C162" i="9"/>
  <c r="H159" i="9"/>
  <c r="G162" i="9"/>
  <c r="E159" i="9"/>
  <c r="D76" i="9"/>
  <c r="C197" i="9"/>
  <c r="C217" i="9" s="1"/>
  <c r="H197" i="9"/>
  <c r="G139" i="9"/>
  <c r="G149" i="9" s="1"/>
  <c r="H166" i="9" s="1"/>
  <c r="H167" i="9" s="1"/>
  <c r="B166" i="9"/>
  <c r="B167" i="9" s="1"/>
  <c r="C166" i="9"/>
  <c r="B164" i="9"/>
  <c r="B165" i="9" s="1"/>
  <c r="D49" i="9"/>
  <c r="D6" i="10"/>
  <c r="E61" i="9" s="1"/>
  <c r="C139" i="9"/>
  <c r="D139" i="9"/>
  <c r="D149" i="9" s="1"/>
  <c r="E139" i="9"/>
  <c r="E149" i="9" s="1"/>
  <c r="F139" i="9"/>
  <c r="F149" i="9" s="1"/>
  <c r="G197" i="9"/>
  <c r="F197" i="9"/>
  <c r="E197" i="9"/>
  <c r="D197" i="9"/>
  <c r="B197" i="9"/>
  <c r="B217" i="9" s="1"/>
  <c r="C87" i="9"/>
  <c r="C195" i="9" l="1"/>
  <c r="C215" i="9" s="1"/>
  <c r="G195" i="9"/>
  <c r="H195" i="9"/>
  <c r="H169" i="9"/>
  <c r="H168" i="9"/>
  <c r="B223" i="9"/>
  <c r="C223" i="9"/>
  <c r="C149" i="9"/>
  <c r="D166" i="9" s="1"/>
  <c r="D167" i="9" s="1"/>
  <c r="D169" i="9" s="1"/>
  <c r="B169" i="9"/>
  <c r="C167" i="9"/>
  <c r="C169" i="9" s="1"/>
  <c r="G166" i="9"/>
  <c r="E166" i="9"/>
  <c r="E167" i="9" s="1"/>
  <c r="E169" i="9" s="1"/>
  <c r="F166" i="9"/>
  <c r="F167" i="9" s="1"/>
  <c r="F169" i="9" s="1"/>
  <c r="B168" i="9"/>
  <c r="F62" i="9"/>
  <c r="C191" i="9"/>
  <c r="H203" i="9" s="1"/>
  <c r="F61" i="9"/>
  <c r="F195" i="9"/>
  <c r="E195" i="9"/>
  <c r="D195" i="9"/>
  <c r="B195" i="9"/>
  <c r="H170" i="9" l="1"/>
  <c r="H171" i="9" s="1"/>
  <c r="H200" i="9" s="1"/>
  <c r="H202" i="9" s="1"/>
  <c r="D168" i="9"/>
  <c r="C168" i="9"/>
  <c r="C170" i="9" s="1"/>
  <c r="C171" i="9" s="1"/>
  <c r="C200" i="9" s="1"/>
  <c r="G167" i="9"/>
  <c r="G169" i="9" s="1"/>
  <c r="F168" i="9"/>
  <c r="E168" i="9"/>
  <c r="D191" i="9"/>
  <c r="C203" i="9"/>
  <c r="B170" i="9"/>
  <c r="B171" i="9" s="1"/>
  <c r="B200" i="9" s="1"/>
  <c r="B220" i="9" s="1"/>
  <c r="B203" i="9"/>
  <c r="B215" i="9"/>
  <c r="D203" i="9"/>
  <c r="F203" i="9"/>
  <c r="E203" i="9"/>
  <c r="G203" i="9"/>
  <c r="H204" i="9" l="1"/>
  <c r="B222" i="9"/>
  <c r="B224" i="9" s="1"/>
  <c r="B202" i="9"/>
  <c r="B204" i="9" s="1"/>
  <c r="C220" i="9"/>
  <c r="C202" i="9"/>
  <c r="C204" i="9" s="1"/>
  <c r="G168" i="9"/>
  <c r="F170" i="9"/>
  <c r="F171" i="9" s="1"/>
  <c r="F200" i="9" s="1"/>
  <c r="F202" i="9" s="1"/>
  <c r="E170" i="9"/>
  <c r="E171" i="9" s="1"/>
  <c r="E200" i="9" s="1"/>
  <c r="E202" i="9" s="1"/>
  <c r="D170" i="9"/>
  <c r="D243" i="9" l="1"/>
  <c r="D242" i="9"/>
  <c r="D245" i="9"/>
  <c r="D244" i="9"/>
  <c r="E229" i="9"/>
  <c r="F229" i="9" s="1"/>
  <c r="G170" i="9"/>
  <c r="G171" i="9" s="1"/>
  <c r="G200" i="9" s="1"/>
  <c r="G202" i="9" s="1"/>
  <c r="G204" i="9" s="1"/>
  <c r="C222" i="9"/>
  <c r="C224" i="9" s="1"/>
  <c r="F204" i="9"/>
  <c r="E204" i="9"/>
  <c r="D171" i="9"/>
  <c r="D200" i="9" s="1"/>
  <c r="D202" i="9" s="1"/>
  <c r="E233" i="9" l="1"/>
  <c r="F233" i="9" s="1"/>
  <c r="E232" i="9"/>
  <c r="F232" i="9" s="1"/>
  <c r="D252" i="9" s="1"/>
  <c r="D229" i="9"/>
  <c r="E231" i="9"/>
  <c r="F231" i="9" s="1"/>
  <c r="D251" i="9" s="1"/>
  <c r="D204" i="9"/>
  <c r="E230" i="9" l="1"/>
  <c r="E242" i="9"/>
  <c r="E245" i="9"/>
  <c r="E244" i="9"/>
  <c r="E243" i="9"/>
  <c r="A247" i="9" l="1"/>
  <c r="F230" i="9"/>
  <c r="D250" i="9" s="1"/>
  <c r="B237" i="9"/>
  <c r="B235" i="9"/>
</calcChain>
</file>

<file path=xl/sharedStrings.xml><?xml version="1.0" encoding="utf-8"?>
<sst xmlns="http://schemas.openxmlformats.org/spreadsheetml/2006/main" count="550" uniqueCount="405">
  <si>
    <t>Corrugated Metal Pipe</t>
  </si>
  <si>
    <t>Minimum Cover (ft.)</t>
  </si>
  <si>
    <t>Steel Thickness</t>
  </si>
  <si>
    <t>Date:</t>
  </si>
  <si>
    <t>r (in)</t>
  </si>
  <si>
    <t>N/A</t>
  </si>
  <si>
    <t>Bridge No:</t>
  </si>
  <si>
    <t>Project No:</t>
  </si>
  <si>
    <t>SFN:</t>
  </si>
  <si>
    <t>Of</t>
  </si>
  <si>
    <t>Year Built:</t>
  </si>
  <si>
    <t>Load Rated By:</t>
  </si>
  <si>
    <t>Bridge Type:</t>
  </si>
  <si>
    <t xml:space="preserve"> </t>
  </si>
  <si>
    <t>Metal Corrugation &amp; Gage Information:</t>
  </si>
  <si>
    <t>c (in) =</t>
  </si>
  <si>
    <t>d (in) =</t>
  </si>
  <si>
    <t>Checked By:</t>
  </si>
  <si>
    <t>Pipe Crown Deflection =</t>
  </si>
  <si>
    <t>Design Span = Actual Span "S" (ft) =</t>
  </si>
  <si>
    <r>
      <t>Design Span (ft) = 2R</t>
    </r>
    <r>
      <rPr>
        <vertAlign val="subscript"/>
        <sz val="10"/>
        <rFont val="Calibri"/>
        <family val="2"/>
      </rPr>
      <t>t</t>
    </r>
    <r>
      <rPr>
        <sz val="10"/>
        <rFont val="Calibri"/>
        <family val="2"/>
      </rPr>
      <t xml:space="preserve"> = </t>
    </r>
  </si>
  <si>
    <t>Thickness (in)</t>
  </si>
  <si>
    <t>Metal Thickness (in)</t>
  </si>
  <si>
    <t>Gage Number</t>
  </si>
  <si>
    <t>Steel</t>
  </si>
  <si>
    <t>Aluminum</t>
  </si>
  <si>
    <r>
      <t>δ = Soil density (k/ft</t>
    </r>
    <r>
      <rPr>
        <vertAlign val="superscript"/>
        <sz val="10"/>
        <rFont val="Calibri"/>
        <family val="2"/>
      </rPr>
      <t>3</t>
    </r>
    <r>
      <rPr>
        <sz val="10"/>
        <rFont val="Calibri"/>
        <family val="2"/>
      </rPr>
      <t>)</t>
    </r>
  </si>
  <si>
    <t>ft</t>
  </si>
  <si>
    <t>Aluminum-corrugated metal (Grade 3004-H34)</t>
  </si>
  <si>
    <t>Aluminum-corrugated metal (Grade 3004-H32)</t>
  </si>
  <si>
    <t>Metal Type:</t>
  </si>
  <si>
    <t>E (ksi)</t>
  </si>
  <si>
    <t>ksi</t>
  </si>
  <si>
    <t>Conduits Mechanical &amp; Section Properties:</t>
  </si>
  <si>
    <t>Mechanical Properties:</t>
  </si>
  <si>
    <t>Section Properties:</t>
  </si>
  <si>
    <t>Structure Type:</t>
  </si>
  <si>
    <t>Corrugation:</t>
  </si>
  <si>
    <t>corrugation</t>
  </si>
  <si>
    <r>
      <rPr>
        <b/>
        <sz val="12"/>
        <rFont val="Calibri"/>
        <family val="2"/>
        <scheme val="minor"/>
      </rPr>
      <t xml:space="preserve">1½ x ¼ </t>
    </r>
    <r>
      <rPr>
        <vertAlign val="subscript"/>
        <sz val="12"/>
        <rFont val="Calibri"/>
        <family val="2"/>
        <scheme val="minor"/>
      </rPr>
      <t>(corrugated steel pipe)</t>
    </r>
  </si>
  <si>
    <r>
      <rPr>
        <b/>
        <sz val="12"/>
        <rFont val="Calibri"/>
        <family val="2"/>
        <scheme val="minor"/>
      </rPr>
      <t>2⅔ x ½</t>
    </r>
    <r>
      <rPr>
        <vertAlign val="subscript"/>
        <sz val="12"/>
        <rFont val="Calibri"/>
        <family val="2"/>
        <scheme val="minor"/>
      </rPr>
      <t xml:space="preserve"> (corrugated steel pipe)</t>
    </r>
  </si>
  <si>
    <r>
      <rPr>
        <b/>
        <sz val="12"/>
        <rFont val="Calibri"/>
        <family val="2"/>
        <scheme val="minor"/>
      </rPr>
      <t>3 x 1</t>
    </r>
    <r>
      <rPr>
        <vertAlign val="subscript"/>
        <sz val="12"/>
        <rFont val="Calibri"/>
        <family val="2"/>
        <scheme val="minor"/>
      </rPr>
      <t xml:space="preserve"> (corrugated steel pipe)</t>
    </r>
  </si>
  <si>
    <r>
      <rPr>
        <b/>
        <sz val="12"/>
        <rFont val="Calibri"/>
        <family val="2"/>
        <scheme val="minor"/>
      </rPr>
      <t>5 x 1</t>
    </r>
    <r>
      <rPr>
        <sz val="12"/>
        <rFont val="Calibri"/>
        <family val="2"/>
        <scheme val="minor"/>
      </rPr>
      <t xml:space="preserve"> </t>
    </r>
    <r>
      <rPr>
        <vertAlign val="subscript"/>
        <sz val="12"/>
        <rFont val="Calibri"/>
        <family val="2"/>
        <scheme val="minor"/>
      </rPr>
      <t>(corrugated steel pipe)</t>
    </r>
  </si>
  <si>
    <r>
      <rPr>
        <b/>
        <sz val="12"/>
        <rFont val="Calibri"/>
        <family val="2"/>
        <scheme val="minor"/>
      </rPr>
      <t xml:space="preserve">¾ x ¾ x 7½ </t>
    </r>
    <r>
      <rPr>
        <vertAlign val="subscript"/>
        <sz val="12"/>
        <rFont val="Calibri"/>
        <family val="2"/>
        <scheme val="minor"/>
      </rPr>
      <t>(spiral rib steel pipe)</t>
    </r>
  </si>
  <si>
    <r>
      <rPr>
        <b/>
        <sz val="12"/>
        <color rgb="FF000000"/>
        <rFont val="Calibri"/>
        <family val="2"/>
        <scheme val="minor"/>
      </rPr>
      <t>¾ x 1 x 11½</t>
    </r>
    <r>
      <rPr>
        <sz val="12"/>
        <color rgb="FF000000"/>
        <rFont val="Calibri"/>
        <family val="2"/>
        <scheme val="minor"/>
      </rPr>
      <t xml:space="preserve"> </t>
    </r>
    <r>
      <rPr>
        <vertAlign val="subscript"/>
        <sz val="12"/>
        <color rgb="FF000000"/>
        <rFont val="Calibri"/>
        <family val="2"/>
        <scheme val="minor"/>
      </rPr>
      <t>(spiral rib steel pipe)</t>
    </r>
  </si>
  <si>
    <r>
      <rPr>
        <b/>
        <sz val="12"/>
        <rFont val="Calibri"/>
        <family val="2"/>
        <scheme val="minor"/>
      </rPr>
      <t>6 x 2</t>
    </r>
    <r>
      <rPr>
        <sz val="12"/>
        <rFont val="Calibri"/>
        <family val="2"/>
        <scheme val="minor"/>
      </rPr>
      <t xml:space="preserve"> </t>
    </r>
    <r>
      <rPr>
        <vertAlign val="subscript"/>
        <sz val="12"/>
        <rFont val="Calibri"/>
        <family val="2"/>
        <scheme val="minor"/>
      </rPr>
      <t>(steel structural plate pipe)</t>
    </r>
  </si>
  <si>
    <r>
      <rPr>
        <b/>
        <sz val="12"/>
        <rFont val="Calibri"/>
        <family val="2"/>
        <scheme val="minor"/>
      </rPr>
      <t>1½ x ¼</t>
    </r>
    <r>
      <rPr>
        <sz val="12"/>
        <rFont val="Calibri"/>
        <family val="2"/>
        <scheme val="minor"/>
      </rPr>
      <t xml:space="preserve"> </t>
    </r>
    <r>
      <rPr>
        <vertAlign val="subscript"/>
        <sz val="12"/>
        <rFont val="Calibri"/>
        <family val="2"/>
        <scheme val="minor"/>
      </rPr>
      <t>(corrugated aluminum pipe)</t>
    </r>
  </si>
  <si>
    <r>
      <rPr>
        <b/>
        <sz val="12"/>
        <rFont val="Calibri"/>
        <family val="2"/>
        <scheme val="minor"/>
      </rPr>
      <t>2⅔ x ½</t>
    </r>
    <r>
      <rPr>
        <vertAlign val="subscript"/>
        <sz val="12"/>
        <rFont val="Calibri"/>
        <family val="2"/>
        <scheme val="minor"/>
      </rPr>
      <t xml:space="preserve"> (corrugated aluminum pipe)</t>
    </r>
  </si>
  <si>
    <r>
      <rPr>
        <b/>
        <sz val="12"/>
        <rFont val="Calibri"/>
        <family val="2"/>
        <scheme val="minor"/>
      </rPr>
      <t>3 x 1</t>
    </r>
    <r>
      <rPr>
        <sz val="12"/>
        <rFont val="Calibri"/>
        <family val="2"/>
        <scheme val="minor"/>
      </rPr>
      <t xml:space="preserve"> </t>
    </r>
    <r>
      <rPr>
        <vertAlign val="subscript"/>
        <sz val="12"/>
        <rFont val="Calibri"/>
        <family val="2"/>
        <scheme val="minor"/>
      </rPr>
      <t>(corrugated aluminum pipe)</t>
    </r>
  </si>
  <si>
    <r>
      <rPr>
        <b/>
        <sz val="12"/>
        <rFont val="Calibri"/>
        <family val="2"/>
        <scheme val="minor"/>
      </rPr>
      <t>6 x 1</t>
    </r>
    <r>
      <rPr>
        <sz val="12"/>
        <rFont val="Calibri"/>
        <family val="2"/>
        <scheme val="minor"/>
      </rPr>
      <t xml:space="preserve"> </t>
    </r>
    <r>
      <rPr>
        <vertAlign val="subscript"/>
        <sz val="12"/>
        <rFont val="Calibri"/>
        <family val="2"/>
        <scheme val="minor"/>
      </rPr>
      <t>(corrugated aluminum pipe)</t>
    </r>
  </si>
  <si>
    <r>
      <rPr>
        <b/>
        <sz val="12"/>
        <rFont val="Calibri"/>
        <family val="2"/>
        <scheme val="minor"/>
      </rPr>
      <t>¾ x ¾ x 7½</t>
    </r>
    <r>
      <rPr>
        <sz val="12"/>
        <rFont val="Calibri"/>
        <family val="2"/>
        <scheme val="minor"/>
      </rPr>
      <t xml:space="preserve"> </t>
    </r>
    <r>
      <rPr>
        <vertAlign val="subscript"/>
        <sz val="12"/>
        <rFont val="Calibri"/>
        <family val="2"/>
        <scheme val="minor"/>
      </rPr>
      <t>(aluminum spiral rib pipe)</t>
    </r>
  </si>
  <si>
    <r>
      <rPr>
        <b/>
        <sz val="12"/>
        <color rgb="FF000000"/>
        <rFont val="Calibri"/>
        <family val="2"/>
        <scheme val="minor"/>
      </rPr>
      <t>¾ x 1 x 11½</t>
    </r>
    <r>
      <rPr>
        <b/>
        <vertAlign val="subscript"/>
        <sz val="12"/>
        <color rgb="FF000000"/>
        <rFont val="Calibri"/>
        <family val="2"/>
        <scheme val="minor"/>
      </rPr>
      <t xml:space="preserve"> </t>
    </r>
    <r>
      <rPr>
        <vertAlign val="subscript"/>
        <sz val="12"/>
        <color rgb="FF000000"/>
        <rFont val="Calibri"/>
        <family val="2"/>
        <scheme val="minor"/>
      </rPr>
      <t>(aluminum spiral rib pipe)</t>
    </r>
  </si>
  <si>
    <r>
      <rPr>
        <b/>
        <sz val="12"/>
        <rFont val="Calibri"/>
        <family val="2"/>
        <scheme val="minor"/>
      </rPr>
      <t>9 x 2</t>
    </r>
    <r>
      <rPr>
        <b/>
        <sz val="12"/>
        <rFont val="Calibri"/>
        <family val="2"/>
      </rPr>
      <t>½</t>
    </r>
    <r>
      <rPr>
        <sz val="12"/>
        <rFont val="Calibri"/>
        <family val="2"/>
      </rPr>
      <t xml:space="preserve"> </t>
    </r>
    <r>
      <rPr>
        <vertAlign val="subscript"/>
        <sz val="12"/>
        <rFont val="Calibri"/>
        <family val="2"/>
      </rPr>
      <t>(aluminum structural plate pipe)</t>
    </r>
  </si>
  <si>
    <t>←</t>
  </si>
  <si>
    <r>
      <t>A</t>
    </r>
    <r>
      <rPr>
        <vertAlign val="subscript"/>
        <sz val="10"/>
        <rFont val="Calibri"/>
        <family val="2"/>
        <scheme val="minor"/>
      </rPr>
      <t>s</t>
    </r>
    <r>
      <rPr>
        <sz val="10"/>
        <rFont val="Calibri"/>
        <family val="2"/>
        <scheme val="minor"/>
      </rPr>
      <t xml:space="preserve"> (in</t>
    </r>
    <r>
      <rPr>
        <vertAlign val="superscript"/>
        <sz val="10"/>
        <rFont val="Calibri"/>
        <family val="2"/>
        <scheme val="minor"/>
      </rPr>
      <t>2</t>
    </r>
    <r>
      <rPr>
        <sz val="10"/>
        <rFont val="Calibri"/>
        <family val="2"/>
        <scheme val="minor"/>
      </rPr>
      <t>/ft) =</t>
    </r>
  </si>
  <si>
    <t>9 x 2½ (aluminum structural plate pipe)</t>
  </si>
  <si>
    <r>
      <rPr>
        <sz val="9"/>
        <rFont val="Calibri"/>
        <family val="2"/>
      </rPr>
      <t>←</t>
    </r>
    <r>
      <rPr>
        <sz val="9"/>
        <rFont val="Calibri"/>
        <family val="2"/>
        <scheme val="minor"/>
      </rPr>
      <t>from filed measurement</t>
    </r>
  </si>
  <si>
    <r>
      <t>A</t>
    </r>
    <r>
      <rPr>
        <vertAlign val="subscript"/>
        <sz val="8"/>
        <rFont val="Calibri"/>
        <family val="2"/>
        <scheme val="minor"/>
      </rPr>
      <t xml:space="preserve">s </t>
    </r>
    <r>
      <rPr>
        <sz val="8"/>
        <rFont val="Calibri"/>
        <family val="2"/>
        <scheme val="minor"/>
      </rPr>
      <t>(in</t>
    </r>
    <r>
      <rPr>
        <vertAlign val="superscript"/>
        <sz val="8"/>
        <rFont val="Calibri"/>
        <family val="2"/>
        <scheme val="minor"/>
      </rPr>
      <t>2</t>
    </r>
    <r>
      <rPr>
        <sz val="8"/>
        <rFont val="Calibri"/>
        <family val="2"/>
        <scheme val="minor"/>
      </rPr>
      <t>/ft)</t>
    </r>
  </si>
  <si>
    <r>
      <t>I x 10</t>
    </r>
    <r>
      <rPr>
        <vertAlign val="superscript"/>
        <sz val="8"/>
        <rFont val="Calibri"/>
        <family val="2"/>
        <scheme val="minor"/>
      </rPr>
      <t>-3</t>
    </r>
    <r>
      <rPr>
        <sz val="8"/>
        <rFont val="Calibri"/>
        <family val="2"/>
        <scheme val="minor"/>
      </rPr>
      <t>(in</t>
    </r>
    <r>
      <rPr>
        <vertAlign val="superscript"/>
        <sz val="8"/>
        <rFont val="Calibri"/>
        <family val="2"/>
        <scheme val="minor"/>
      </rPr>
      <t>4</t>
    </r>
    <r>
      <rPr>
        <sz val="8"/>
        <rFont val="Calibri"/>
        <family val="2"/>
        <scheme val="minor"/>
      </rPr>
      <t>/in)</t>
    </r>
  </si>
  <si>
    <r>
      <t>Effective A</t>
    </r>
    <r>
      <rPr>
        <vertAlign val="subscript"/>
        <sz val="8"/>
        <rFont val="Calibri"/>
        <family val="2"/>
        <scheme val="minor"/>
      </rPr>
      <t>s</t>
    </r>
  </si>
  <si>
    <t>Metal Type</t>
  </si>
  <si>
    <r>
      <t>E</t>
    </r>
    <r>
      <rPr>
        <vertAlign val="subscript"/>
        <sz val="10"/>
        <rFont val="Calibri"/>
        <family val="2"/>
        <scheme val="minor"/>
      </rPr>
      <t>m</t>
    </r>
    <r>
      <rPr>
        <sz val="10"/>
        <rFont val="Calibri"/>
        <family val="2"/>
        <scheme val="minor"/>
      </rPr>
      <t xml:space="preserve"> = Modulus of elasticity of metal</t>
    </r>
  </si>
  <si>
    <r>
      <t>F</t>
    </r>
    <r>
      <rPr>
        <vertAlign val="subscript"/>
        <sz val="10"/>
        <rFont val="Calibri"/>
        <family val="2"/>
      </rPr>
      <t>y</t>
    </r>
    <r>
      <rPr>
        <sz val="10"/>
        <rFont val="Calibri"/>
        <family val="2"/>
      </rPr>
      <t xml:space="preserve"> = Minimum Yield Point of the Metal</t>
    </r>
  </si>
  <si>
    <r>
      <t>F</t>
    </r>
    <r>
      <rPr>
        <vertAlign val="subscript"/>
        <sz val="10"/>
        <rFont val="Calibri"/>
        <family val="2"/>
      </rPr>
      <t>u</t>
    </r>
    <r>
      <rPr>
        <sz val="10"/>
        <rFont val="Calibri"/>
        <family val="2"/>
      </rPr>
      <t xml:space="preserve"> = Minimum Tensile Strength of the Metal</t>
    </r>
  </si>
  <si>
    <t>k = soil stiffness factor =</t>
  </si>
  <si>
    <r>
      <t xml:space="preserve">I </t>
    </r>
    <r>
      <rPr>
        <sz val="10"/>
        <rFont val="Calibri"/>
        <family val="2"/>
        <scheme val="minor"/>
      </rPr>
      <t>x 10</t>
    </r>
    <r>
      <rPr>
        <vertAlign val="superscript"/>
        <sz val="10"/>
        <rFont val="Calibri"/>
        <family val="2"/>
        <scheme val="minor"/>
      </rPr>
      <t>-3</t>
    </r>
    <r>
      <rPr>
        <sz val="10"/>
        <rFont val="Calibri"/>
        <family val="2"/>
        <scheme val="minor"/>
      </rPr>
      <t xml:space="preserve"> (in</t>
    </r>
    <r>
      <rPr>
        <vertAlign val="superscript"/>
        <sz val="10"/>
        <rFont val="Calibri"/>
        <family val="2"/>
        <scheme val="minor"/>
      </rPr>
      <t>4</t>
    </r>
    <r>
      <rPr>
        <sz val="10"/>
        <rFont val="Calibri"/>
        <family val="2"/>
        <scheme val="minor"/>
      </rPr>
      <t>/in) =</t>
    </r>
  </si>
  <si>
    <r>
      <t>Aluminum-structural plate (thickness 0.100</t>
    </r>
    <r>
      <rPr>
        <sz val="9"/>
        <rFont val="Calibri"/>
        <family val="2"/>
      </rPr>
      <t xml:space="preserve">" </t>
    </r>
    <r>
      <rPr>
        <sz val="9"/>
        <rFont val="Calibri"/>
        <family val="2"/>
        <scheme val="minor"/>
      </rPr>
      <t>- 0.175</t>
    </r>
    <r>
      <rPr>
        <sz val="9"/>
        <rFont val="Calibri"/>
        <family val="2"/>
      </rPr>
      <t>"</t>
    </r>
    <r>
      <rPr>
        <sz val="9"/>
        <rFont val="Calibri"/>
        <family val="2"/>
        <scheme val="minor"/>
      </rPr>
      <t>)</t>
    </r>
  </si>
  <si>
    <r>
      <t>Aluminum-structural plate (thickness 0.176</t>
    </r>
    <r>
      <rPr>
        <sz val="9"/>
        <rFont val="Calibri"/>
        <family val="2"/>
      </rPr>
      <t xml:space="preserve">" </t>
    </r>
    <r>
      <rPr>
        <sz val="9"/>
        <rFont val="Calibri"/>
        <family val="2"/>
        <scheme val="minor"/>
      </rPr>
      <t>- 0.250</t>
    </r>
    <r>
      <rPr>
        <sz val="9"/>
        <rFont val="Calibri"/>
        <family val="2"/>
      </rPr>
      <t>"</t>
    </r>
    <r>
      <rPr>
        <sz val="9"/>
        <rFont val="Calibri"/>
        <family val="2"/>
        <scheme val="minor"/>
      </rPr>
      <t>)</t>
    </r>
  </si>
  <si>
    <r>
      <rPr>
        <b/>
        <sz val="11"/>
        <rFont val="Calibri"/>
        <family val="2"/>
        <scheme val="minor"/>
      </rPr>
      <t>2⅔ x ½</t>
    </r>
    <r>
      <rPr>
        <b/>
        <sz val="9"/>
        <rFont val="Calibri"/>
        <family val="2"/>
        <scheme val="minor"/>
      </rPr>
      <t xml:space="preserve"> </t>
    </r>
    <r>
      <rPr>
        <sz val="9"/>
        <rFont val="Calibri"/>
        <family val="2"/>
        <scheme val="minor"/>
      </rPr>
      <t>(corrugated steel pipe)</t>
    </r>
  </si>
  <si>
    <r>
      <rPr>
        <b/>
        <sz val="11"/>
        <rFont val="Calibri"/>
        <family val="2"/>
        <scheme val="minor"/>
      </rPr>
      <t>1½ x ¼</t>
    </r>
    <r>
      <rPr>
        <b/>
        <sz val="9"/>
        <rFont val="Calibri"/>
        <family val="2"/>
        <scheme val="minor"/>
      </rPr>
      <t xml:space="preserve"> </t>
    </r>
    <r>
      <rPr>
        <sz val="9"/>
        <rFont val="Calibri"/>
        <family val="2"/>
        <scheme val="minor"/>
      </rPr>
      <t>(corrugated steel pipe)</t>
    </r>
  </si>
  <si>
    <r>
      <rPr>
        <b/>
        <sz val="11"/>
        <rFont val="Calibri"/>
        <family val="2"/>
        <scheme val="minor"/>
      </rPr>
      <t>3 x 1</t>
    </r>
    <r>
      <rPr>
        <b/>
        <sz val="9"/>
        <rFont val="Calibri"/>
        <family val="2"/>
        <scheme val="minor"/>
      </rPr>
      <t xml:space="preserve"> </t>
    </r>
    <r>
      <rPr>
        <sz val="9"/>
        <rFont val="Calibri"/>
        <family val="2"/>
        <scheme val="minor"/>
      </rPr>
      <t>(corrugated steel pipe)</t>
    </r>
  </si>
  <si>
    <r>
      <rPr>
        <b/>
        <sz val="11"/>
        <rFont val="Calibri"/>
        <family val="2"/>
        <scheme val="minor"/>
      </rPr>
      <t>5 x 1</t>
    </r>
    <r>
      <rPr>
        <b/>
        <sz val="9"/>
        <rFont val="Calibri"/>
        <family val="2"/>
        <scheme val="minor"/>
      </rPr>
      <t xml:space="preserve"> </t>
    </r>
    <r>
      <rPr>
        <sz val="9"/>
        <rFont val="Calibri"/>
        <family val="2"/>
        <scheme val="minor"/>
      </rPr>
      <t>(corrugated steel pipe)</t>
    </r>
  </si>
  <si>
    <r>
      <rPr>
        <b/>
        <sz val="11"/>
        <rFont val="Calibri"/>
        <family val="2"/>
        <scheme val="minor"/>
      </rPr>
      <t>¾ x ¾ x 7½</t>
    </r>
    <r>
      <rPr>
        <b/>
        <sz val="9"/>
        <rFont val="Calibri"/>
        <family val="2"/>
        <scheme val="minor"/>
      </rPr>
      <t xml:space="preserve"> </t>
    </r>
    <r>
      <rPr>
        <sz val="9"/>
        <rFont val="Calibri"/>
        <family val="2"/>
        <scheme val="minor"/>
      </rPr>
      <t>(spiral rib steel pipe)</t>
    </r>
  </si>
  <si>
    <r>
      <rPr>
        <b/>
        <sz val="11"/>
        <rFont val="Calibri"/>
        <family val="2"/>
        <scheme val="minor"/>
      </rPr>
      <t>¾ x 1 x 11½</t>
    </r>
    <r>
      <rPr>
        <sz val="9"/>
        <rFont val="Calibri"/>
        <family val="2"/>
        <scheme val="minor"/>
      </rPr>
      <t xml:space="preserve"> (spiral rib steel pipe)</t>
    </r>
  </si>
  <si>
    <r>
      <rPr>
        <b/>
        <sz val="11"/>
        <rFont val="Calibri"/>
        <family val="2"/>
        <scheme val="minor"/>
      </rPr>
      <t>6 x 2</t>
    </r>
    <r>
      <rPr>
        <sz val="9"/>
        <rFont val="Calibri"/>
        <family val="2"/>
        <scheme val="minor"/>
      </rPr>
      <t xml:space="preserve"> (steel structural plate pipe)</t>
    </r>
  </si>
  <si>
    <r>
      <rPr>
        <b/>
        <sz val="11"/>
        <rFont val="Calibri"/>
        <family val="2"/>
        <scheme val="minor"/>
      </rPr>
      <t>1½ x ¼</t>
    </r>
    <r>
      <rPr>
        <b/>
        <sz val="8"/>
        <rFont val="Calibri"/>
        <family val="2"/>
        <scheme val="minor"/>
      </rPr>
      <t xml:space="preserve"> </t>
    </r>
    <r>
      <rPr>
        <sz val="8"/>
        <rFont val="Calibri"/>
        <family val="2"/>
        <scheme val="minor"/>
      </rPr>
      <t>(corrugated aluminum pipe)</t>
    </r>
  </si>
  <si>
    <r>
      <rPr>
        <b/>
        <sz val="11"/>
        <rFont val="Calibri"/>
        <family val="2"/>
        <scheme val="minor"/>
      </rPr>
      <t>2⅔ x ½</t>
    </r>
    <r>
      <rPr>
        <sz val="8"/>
        <rFont val="Calibri"/>
        <family val="2"/>
        <scheme val="minor"/>
      </rPr>
      <t xml:space="preserve"> (corrugated aluminum pipe)</t>
    </r>
  </si>
  <si>
    <r>
      <rPr>
        <b/>
        <sz val="11"/>
        <rFont val="Calibri"/>
        <family val="2"/>
        <scheme val="minor"/>
      </rPr>
      <t>3 x 1</t>
    </r>
    <r>
      <rPr>
        <b/>
        <sz val="8"/>
        <rFont val="Calibri"/>
        <family val="2"/>
        <scheme val="minor"/>
      </rPr>
      <t xml:space="preserve"> </t>
    </r>
    <r>
      <rPr>
        <sz val="8"/>
        <rFont val="Calibri"/>
        <family val="2"/>
        <scheme val="minor"/>
      </rPr>
      <t>(corrugated aluminum pipe)</t>
    </r>
  </si>
  <si>
    <r>
      <rPr>
        <b/>
        <sz val="11"/>
        <rFont val="Calibri"/>
        <family val="2"/>
        <scheme val="minor"/>
      </rPr>
      <t>¾ x ¾ x 7½</t>
    </r>
    <r>
      <rPr>
        <b/>
        <sz val="9"/>
        <rFont val="Calibri"/>
        <family val="2"/>
        <scheme val="minor"/>
      </rPr>
      <t xml:space="preserve"> </t>
    </r>
    <r>
      <rPr>
        <sz val="9"/>
        <rFont val="Calibri"/>
        <family val="2"/>
        <scheme val="minor"/>
      </rPr>
      <t>(aluminum spiral rib pipe)</t>
    </r>
  </si>
  <si>
    <r>
      <rPr>
        <b/>
        <sz val="11"/>
        <rFont val="Calibri"/>
        <family val="2"/>
        <scheme val="minor"/>
      </rPr>
      <t>¾ x 1 x 11½</t>
    </r>
    <r>
      <rPr>
        <sz val="9"/>
        <rFont val="Calibri"/>
        <family val="2"/>
        <scheme val="minor"/>
      </rPr>
      <t xml:space="preserve"> (aluminum spiral rib pipe)</t>
    </r>
  </si>
  <si>
    <r>
      <rPr>
        <b/>
        <sz val="11"/>
        <rFont val="Calibri"/>
        <family val="2"/>
        <scheme val="minor"/>
      </rPr>
      <t>9 x 2½</t>
    </r>
    <r>
      <rPr>
        <sz val="11"/>
        <rFont val="Calibri"/>
        <family val="2"/>
        <scheme val="minor"/>
      </rPr>
      <t xml:space="preserve"> </t>
    </r>
    <r>
      <rPr>
        <sz val="9"/>
        <rFont val="Calibri"/>
        <family val="2"/>
        <scheme val="minor"/>
      </rPr>
      <t>(aluminum structural plate pipe)</t>
    </r>
  </si>
  <si>
    <r>
      <rPr>
        <b/>
        <sz val="11"/>
        <rFont val="Calibri"/>
        <family val="2"/>
        <scheme val="minor"/>
      </rPr>
      <t>6 x 1</t>
    </r>
    <r>
      <rPr>
        <b/>
        <sz val="8"/>
        <rFont val="Calibri"/>
        <family val="2"/>
        <scheme val="minor"/>
      </rPr>
      <t xml:space="preserve"> </t>
    </r>
    <r>
      <rPr>
        <sz val="8"/>
        <rFont val="Calibri"/>
        <family val="2"/>
        <scheme val="minor"/>
      </rPr>
      <t>(corrugated aluminum pipe)</t>
    </r>
  </si>
  <si>
    <t>Gage #</t>
  </si>
  <si>
    <r>
      <t>R</t>
    </r>
    <r>
      <rPr>
        <vertAlign val="subscript"/>
        <sz val="9"/>
        <rFont val="Calibri"/>
        <family val="2"/>
        <scheme val="minor"/>
      </rPr>
      <t>t</t>
    </r>
    <r>
      <rPr>
        <sz val="9"/>
        <rFont val="Calibri"/>
        <family val="2"/>
        <scheme val="minor"/>
      </rPr>
      <t xml:space="preserve"> = </t>
    </r>
  </si>
  <si>
    <r>
      <t>← R</t>
    </r>
    <r>
      <rPr>
        <b/>
        <vertAlign val="subscript"/>
        <sz val="9"/>
        <rFont val="Calibri"/>
        <family val="2"/>
      </rPr>
      <t>t</t>
    </r>
    <r>
      <rPr>
        <b/>
        <sz val="9"/>
        <rFont val="Calibri"/>
        <family val="2"/>
      </rPr>
      <t xml:space="preserve"> range</t>
    </r>
  </si>
  <si>
    <r>
      <t>F</t>
    </r>
    <r>
      <rPr>
        <b/>
        <vertAlign val="subscript"/>
        <sz val="9"/>
        <rFont val="Calibri"/>
        <family val="2"/>
        <scheme val="minor"/>
      </rPr>
      <t xml:space="preserve">u </t>
    </r>
    <r>
      <rPr>
        <b/>
        <sz val="9"/>
        <rFont val="Calibri"/>
        <family val="2"/>
        <scheme val="minor"/>
      </rPr>
      <t>(ksi)</t>
    </r>
  </si>
  <si>
    <r>
      <t>F</t>
    </r>
    <r>
      <rPr>
        <b/>
        <vertAlign val="subscript"/>
        <sz val="9"/>
        <rFont val="Calibri"/>
        <family val="2"/>
        <scheme val="minor"/>
      </rPr>
      <t xml:space="preserve">y </t>
    </r>
    <r>
      <rPr>
        <b/>
        <sz val="9"/>
        <rFont val="Calibri"/>
        <family val="2"/>
        <scheme val="minor"/>
      </rPr>
      <t>(ksi)</t>
    </r>
  </si>
  <si>
    <r>
      <rPr>
        <b/>
        <sz val="12"/>
        <rFont val="Calibri"/>
        <family val="2"/>
        <scheme val="minor"/>
      </rPr>
      <t>6 x 2</t>
    </r>
    <r>
      <rPr>
        <sz val="12"/>
        <rFont val="Calibri"/>
        <family val="2"/>
        <scheme val="minor"/>
      </rPr>
      <t xml:space="preserve"> corrugated steel plates</t>
    </r>
  </si>
  <si>
    <t>Min. =</t>
  </si>
  <si>
    <t>in</t>
  </si>
  <si>
    <r>
      <t xml:space="preserve">A.   Design </t>
    </r>
    <r>
      <rPr>
        <b/>
        <sz val="14"/>
        <color indexed="8"/>
        <rFont val="Calibri"/>
        <family val="2"/>
      </rPr>
      <t>Dimensions</t>
    </r>
  </si>
  <si>
    <r>
      <t xml:space="preserve">B.   Design </t>
    </r>
    <r>
      <rPr>
        <b/>
        <sz val="14"/>
        <color indexed="8"/>
        <rFont val="Calibri"/>
        <family val="2"/>
      </rPr>
      <t>Properties</t>
    </r>
  </si>
  <si>
    <t>C.   Design Calculations:</t>
  </si>
  <si>
    <t>Seam Type:</t>
  </si>
  <si>
    <t>Annular pipe w/ spot welded, riveted or bolted seam</t>
  </si>
  <si>
    <t>Helical pipe w/ lock seam or fully welded seam</t>
  </si>
  <si>
    <t>Structure Category:</t>
  </si>
  <si>
    <r>
      <rPr>
        <b/>
        <sz val="12"/>
        <rFont val="Calibri"/>
        <family val="2"/>
        <scheme val="minor"/>
      </rPr>
      <t>Structure Category</t>
    </r>
    <r>
      <rPr>
        <b/>
        <sz val="10"/>
        <rFont val="Calibri"/>
        <family val="2"/>
        <scheme val="minor"/>
      </rPr>
      <t>:</t>
    </r>
  </si>
  <si>
    <r>
      <rPr>
        <b/>
        <sz val="12"/>
        <color rgb="FFFF0000"/>
        <rFont val="Calibri"/>
        <family val="2"/>
        <scheme val="minor"/>
      </rPr>
      <t>*</t>
    </r>
    <r>
      <rPr>
        <sz val="9"/>
        <color rgb="FFFF0000"/>
        <rFont val="Calibri"/>
        <family val="2"/>
        <scheme val="minor"/>
      </rPr>
      <t xml:space="preserve"> </t>
    </r>
    <r>
      <rPr>
        <sz val="9"/>
        <rFont val="Calibri"/>
        <family val="2"/>
      </rPr>
      <t>For unsymmetrical structures, structures deflected more than 5% from design shape, or those that show localized distortions require that the actual maximum radius be determined in those distorted areas as show above. Use two times the actual maximum radius rather than the span in structural design checks. Typically this provides a conservative evaluation of the structure. Calculate maximum existing top radius by taking measurements around the upper periphery of the culvert using a ruler of length "P" to obtain values of "M". This should be done at selected stations along length of culvert, particularly at locations with noticeable sag.</t>
    </r>
  </si>
  <si>
    <t>Typical (NCSPA design data sheet No. 19, II. A. 1.)</t>
  </si>
  <si>
    <t>Unsymmetrical  or deflect over 5% (NCSPA design data sheet No. 19, II. A. 2.)</t>
  </si>
  <si>
    <t>Long span (NCSPA design data sheet No. 19, II. A. 3.)</t>
  </si>
  <si>
    <r>
      <rPr>
        <sz val="10"/>
        <rFont val="Calibri"/>
        <family val="2"/>
      </rPr>
      <t>Longitudinal Length of Structure "L" (ft) =</t>
    </r>
  </si>
  <si>
    <t>if:</t>
  </si>
  <si>
    <t>Compare:</t>
  </si>
  <si>
    <t>S (in) =</t>
  </si>
  <si>
    <r>
      <t>T</t>
    </r>
    <r>
      <rPr>
        <vertAlign val="subscript"/>
        <sz val="10"/>
        <rFont val="Calibri"/>
        <family val="2"/>
        <scheme val="minor"/>
      </rPr>
      <t>cap</t>
    </r>
    <r>
      <rPr>
        <sz val="10"/>
        <rFont val="Calibri"/>
        <family val="2"/>
        <scheme val="minor"/>
      </rPr>
      <t xml:space="preserve"> = less of:</t>
    </r>
  </si>
  <si>
    <t>Diameter      (in)</t>
  </si>
  <si>
    <t>4 Bolts/ft (k/ft)</t>
  </si>
  <si>
    <t>6 Bolts/ft (k/ft)</t>
  </si>
  <si>
    <t>8 Bolts/ft (k/ft)</t>
  </si>
  <si>
    <t>Minimum Longitudinal Seam Strength</t>
  </si>
  <si>
    <t>Rivet Size                   (in)</t>
  </si>
  <si>
    <t>Single Rivets (k/ft)</t>
  </si>
  <si>
    <t>Double Rivets (k/ft)</t>
  </si>
  <si>
    <t>¾</t>
  </si>
  <si>
    <t>⅞</t>
  </si>
  <si>
    <t>⅜</t>
  </si>
  <si>
    <r>
      <rPr>
        <b/>
        <sz val="11"/>
        <rFont val="Calibri"/>
        <family val="2"/>
        <scheme val="minor"/>
      </rPr>
      <t>3 x 1</t>
    </r>
    <r>
      <rPr>
        <b/>
        <sz val="9"/>
        <rFont val="Calibri"/>
        <family val="2"/>
        <scheme val="minor"/>
      </rPr>
      <t xml:space="preserve"> </t>
    </r>
    <r>
      <rPr>
        <sz val="9"/>
        <rFont val="Calibri"/>
        <family val="2"/>
        <scheme val="minor"/>
      </rPr>
      <t>(corrugated steel pipe) - Riveted or Spot Welded</t>
    </r>
  </si>
  <si>
    <r>
      <rPr>
        <b/>
        <sz val="12"/>
        <rFont val="Calibri"/>
        <family val="2"/>
        <scheme val="minor"/>
      </rPr>
      <t xml:space="preserve">2 x </t>
    </r>
    <r>
      <rPr>
        <b/>
        <sz val="12"/>
        <rFont val="Calibri"/>
        <family val="2"/>
      </rPr>
      <t>½</t>
    </r>
    <r>
      <rPr>
        <b/>
        <sz val="11"/>
        <rFont val="Calibri"/>
        <family val="2"/>
        <scheme val="minor"/>
      </rPr>
      <t xml:space="preserve"> </t>
    </r>
    <r>
      <rPr>
        <sz val="8"/>
        <rFont val="Calibri"/>
        <family val="2"/>
        <scheme val="minor"/>
      </rPr>
      <t>&amp;</t>
    </r>
    <r>
      <rPr>
        <b/>
        <sz val="12"/>
        <rFont val="Calibri"/>
        <family val="2"/>
        <scheme val="minor"/>
      </rPr>
      <t xml:space="preserve"> 2⅔ x ½</t>
    </r>
    <r>
      <rPr>
        <b/>
        <sz val="11"/>
        <rFont val="Calibri"/>
        <family val="2"/>
        <scheme val="minor"/>
      </rPr>
      <t xml:space="preserve"> </t>
    </r>
    <r>
      <rPr>
        <b/>
        <sz val="9"/>
        <rFont val="Calibri"/>
        <family val="2"/>
        <scheme val="minor"/>
      </rPr>
      <t xml:space="preserve"> </t>
    </r>
    <r>
      <rPr>
        <sz val="9"/>
        <rFont val="Calibri"/>
        <family val="2"/>
        <scheme val="minor"/>
      </rPr>
      <t>(corrugated steel pipe) - Riveted or Spot Welded</t>
    </r>
  </si>
  <si>
    <r>
      <rPr>
        <b/>
        <sz val="12"/>
        <rFont val="Calibri"/>
        <family val="2"/>
        <scheme val="minor"/>
      </rPr>
      <t xml:space="preserve">2 x </t>
    </r>
    <r>
      <rPr>
        <b/>
        <sz val="12"/>
        <rFont val="Calibri"/>
        <family val="2"/>
      </rPr>
      <t>½</t>
    </r>
    <r>
      <rPr>
        <b/>
        <sz val="11"/>
        <rFont val="Calibri"/>
        <family val="2"/>
        <scheme val="minor"/>
      </rPr>
      <t xml:space="preserve"> </t>
    </r>
    <r>
      <rPr>
        <sz val="8"/>
        <rFont val="Calibri"/>
        <family val="2"/>
        <scheme val="minor"/>
      </rPr>
      <t>&amp;</t>
    </r>
    <r>
      <rPr>
        <b/>
        <sz val="12"/>
        <rFont val="Calibri"/>
        <family val="2"/>
        <scheme val="minor"/>
      </rPr>
      <t xml:space="preserve"> 2⅔ x ½</t>
    </r>
    <r>
      <rPr>
        <b/>
        <sz val="11"/>
        <rFont val="Calibri"/>
        <family val="2"/>
        <scheme val="minor"/>
      </rPr>
      <t xml:space="preserve"> </t>
    </r>
    <r>
      <rPr>
        <b/>
        <sz val="9"/>
        <rFont val="Calibri"/>
        <family val="2"/>
        <scheme val="minor"/>
      </rPr>
      <t xml:space="preserve"> </t>
    </r>
    <r>
      <rPr>
        <sz val="9"/>
        <rFont val="Calibri"/>
        <family val="2"/>
        <scheme val="minor"/>
      </rPr>
      <t>(corrugated aluminum pipe) - Riveted</t>
    </r>
  </si>
  <si>
    <r>
      <rPr>
        <b/>
        <sz val="11"/>
        <rFont val="Calibri"/>
        <family val="2"/>
        <scheme val="minor"/>
      </rPr>
      <t>3 x 1</t>
    </r>
    <r>
      <rPr>
        <b/>
        <sz val="9"/>
        <rFont val="Calibri"/>
        <family val="2"/>
        <scheme val="minor"/>
      </rPr>
      <t xml:space="preserve"> </t>
    </r>
    <r>
      <rPr>
        <sz val="9"/>
        <rFont val="Calibri"/>
        <family val="2"/>
        <scheme val="minor"/>
      </rPr>
      <t>(corrugated aluminum pipe) - Riveted</t>
    </r>
  </si>
  <si>
    <r>
      <rPr>
        <b/>
        <sz val="11"/>
        <rFont val="Calibri"/>
        <family val="2"/>
        <scheme val="minor"/>
      </rPr>
      <t>6 x 1</t>
    </r>
    <r>
      <rPr>
        <b/>
        <sz val="9"/>
        <rFont val="Calibri"/>
        <family val="2"/>
        <scheme val="minor"/>
      </rPr>
      <t xml:space="preserve"> </t>
    </r>
    <r>
      <rPr>
        <sz val="9"/>
        <rFont val="Calibri"/>
        <family val="2"/>
        <scheme val="minor"/>
      </rPr>
      <t>(corrugated aluminum pipe) - Riveted</t>
    </r>
  </si>
  <si>
    <t>steel bolts</t>
  </si>
  <si>
    <t>aluminum bolts</t>
  </si>
  <si>
    <r>
      <rPr>
        <sz val="10"/>
        <rFont val="Calibri"/>
        <family val="2"/>
        <scheme val="minor"/>
      </rPr>
      <t>5</t>
    </r>
    <r>
      <rPr>
        <sz val="10"/>
        <rFont val="Calibri"/>
        <family val="2"/>
      </rPr>
      <t>⅓</t>
    </r>
    <r>
      <rPr>
        <sz val="8"/>
        <rFont val="Calibri"/>
        <family val="2"/>
        <scheme val="minor"/>
      </rPr>
      <t xml:space="preserve"> Bolts/ft (k/ft)</t>
    </r>
  </si>
  <si>
    <t>Diameter                    (in)</t>
  </si>
  <si>
    <r>
      <rPr>
        <sz val="10"/>
        <rFont val="Calibri"/>
        <family val="2"/>
        <scheme val="minor"/>
      </rPr>
      <t>5</t>
    </r>
    <r>
      <rPr>
        <sz val="10"/>
        <rFont val="Calibri"/>
        <family val="2"/>
      </rPr>
      <t>⅓</t>
    </r>
    <r>
      <rPr>
        <sz val="8"/>
        <rFont val="Calibri"/>
        <family val="2"/>
        <scheme val="minor"/>
      </rPr>
      <t xml:space="preserve"> Bolts/ft               (k/ft)</t>
    </r>
  </si>
  <si>
    <t>Double Rivets                (k/ft)</t>
  </si>
  <si>
    <t>Double Rivets             (k/ft)</t>
  </si>
  <si>
    <r>
      <t xml:space="preserve">3.  seam strength = </t>
    </r>
    <r>
      <rPr>
        <sz val="10"/>
        <rFont val="Calibri"/>
        <family val="2"/>
      </rPr>
      <t>φ</t>
    </r>
    <r>
      <rPr>
        <vertAlign val="subscript"/>
        <sz val="10"/>
        <rFont val="Calibri"/>
        <family val="2"/>
      </rPr>
      <t>2</t>
    </r>
    <r>
      <rPr>
        <sz val="10"/>
        <rFont val="Calibri"/>
        <family val="2"/>
      </rPr>
      <t xml:space="preserve"> x (seam strength) =</t>
    </r>
  </si>
  <si>
    <t>k/ft</t>
  </si>
  <si>
    <r>
      <t>T</t>
    </r>
    <r>
      <rPr>
        <vertAlign val="subscript"/>
        <sz val="10"/>
        <rFont val="Calibri"/>
        <family val="2"/>
        <scheme val="minor"/>
      </rPr>
      <t>E</t>
    </r>
    <r>
      <rPr>
        <sz val="10"/>
        <rFont val="Calibri"/>
        <family val="2"/>
        <scheme val="minor"/>
      </rPr>
      <t xml:space="preserve"> = higher value of :</t>
    </r>
  </si>
  <si>
    <r>
      <t xml:space="preserve">1.   </t>
    </r>
    <r>
      <rPr>
        <sz val="10"/>
        <rFont val="Calibri"/>
        <family val="2"/>
      </rPr>
      <t>δ H (S/2) =</t>
    </r>
  </si>
  <si>
    <r>
      <t xml:space="preserve">2.   </t>
    </r>
    <r>
      <rPr>
        <sz val="10"/>
        <rFont val="Calibri"/>
        <family val="2"/>
      </rPr>
      <t>δ H R</t>
    </r>
    <r>
      <rPr>
        <vertAlign val="subscript"/>
        <sz val="10"/>
        <rFont val="Calibri"/>
        <family val="2"/>
      </rPr>
      <t>t</t>
    </r>
    <r>
      <rPr>
        <sz val="10"/>
        <rFont val="Calibri"/>
        <family val="2"/>
      </rPr>
      <t xml:space="preserve"> =</t>
    </r>
  </si>
  <si>
    <t>wheel spacing on axle</t>
  </si>
  <si>
    <r>
      <t>W</t>
    </r>
    <r>
      <rPr>
        <b/>
        <vertAlign val="subscript"/>
        <sz val="9"/>
        <rFont val="Calibri"/>
        <family val="2"/>
        <scheme val="minor"/>
      </rPr>
      <t xml:space="preserve">D (total) </t>
    </r>
    <r>
      <rPr>
        <b/>
        <sz val="9"/>
        <rFont val="Calibri"/>
        <family val="2"/>
        <scheme val="minor"/>
      </rPr>
      <t xml:space="preserve">= </t>
    </r>
  </si>
  <si>
    <t xml:space="preserve">ft </t>
  </si>
  <si>
    <t>Structure Total Length, L =</t>
  </si>
  <si>
    <r>
      <t>W</t>
    </r>
    <r>
      <rPr>
        <b/>
        <vertAlign val="subscript"/>
        <sz val="9"/>
        <rFont val="Calibri"/>
        <family val="2"/>
        <scheme val="minor"/>
      </rPr>
      <t xml:space="preserve">D </t>
    </r>
    <r>
      <rPr>
        <sz val="8"/>
        <rFont val="Calibri"/>
        <family val="2"/>
        <scheme val="minor"/>
      </rPr>
      <t>(ft)</t>
    </r>
    <r>
      <rPr>
        <b/>
        <vertAlign val="subscript"/>
        <sz val="9"/>
        <rFont val="Calibri"/>
        <family val="2"/>
        <scheme val="minor"/>
      </rPr>
      <t xml:space="preserve"> </t>
    </r>
    <r>
      <rPr>
        <b/>
        <sz val="9"/>
        <rFont val="Calibri"/>
        <family val="2"/>
        <scheme val="minor"/>
      </rPr>
      <t>=</t>
    </r>
  </si>
  <si>
    <r>
      <rPr>
        <b/>
        <sz val="10"/>
        <rFont val="Calibri"/>
        <family val="2"/>
        <scheme val="minor"/>
      </rPr>
      <t>L</t>
    </r>
    <r>
      <rPr>
        <b/>
        <vertAlign val="subscript"/>
        <sz val="10"/>
        <rFont val="Calibri"/>
        <family val="2"/>
        <scheme val="minor"/>
      </rPr>
      <t>D</t>
    </r>
    <r>
      <rPr>
        <b/>
        <vertAlign val="subscript"/>
        <sz val="9"/>
        <rFont val="Calibri"/>
        <family val="2"/>
        <scheme val="minor"/>
      </rPr>
      <t xml:space="preserve"> (total)</t>
    </r>
    <r>
      <rPr>
        <b/>
        <sz val="9"/>
        <rFont val="Calibri"/>
        <family val="2"/>
        <scheme val="minor"/>
      </rPr>
      <t xml:space="preserve"> =</t>
    </r>
  </si>
  <si>
    <r>
      <rPr>
        <b/>
        <sz val="10"/>
        <rFont val="Calibri"/>
        <family val="2"/>
        <scheme val="minor"/>
      </rPr>
      <t>L</t>
    </r>
    <r>
      <rPr>
        <b/>
        <vertAlign val="subscript"/>
        <sz val="10"/>
        <rFont val="Calibri"/>
        <family val="2"/>
        <scheme val="minor"/>
      </rPr>
      <t>D</t>
    </r>
    <r>
      <rPr>
        <b/>
        <sz val="8"/>
        <rFont val="Calibri"/>
        <family val="2"/>
        <scheme val="minor"/>
      </rPr>
      <t xml:space="preserve"> </t>
    </r>
    <r>
      <rPr>
        <sz val="8"/>
        <rFont val="Calibri"/>
        <family val="2"/>
        <scheme val="minor"/>
      </rPr>
      <t>(ft)</t>
    </r>
    <r>
      <rPr>
        <vertAlign val="subscript"/>
        <sz val="9"/>
        <rFont val="Calibri"/>
        <family val="2"/>
        <scheme val="minor"/>
      </rPr>
      <t xml:space="preserve"> </t>
    </r>
    <r>
      <rPr>
        <b/>
        <sz val="9"/>
        <rFont val="Calibri"/>
        <family val="2"/>
        <scheme val="minor"/>
      </rPr>
      <t>=</t>
    </r>
  </si>
  <si>
    <t>D.   Load Rating Factors for Ring Compression Structures:</t>
  </si>
  <si>
    <r>
      <t xml:space="preserve">               a. </t>
    </r>
    <r>
      <rPr>
        <sz val="11"/>
        <rFont val="Calibri"/>
        <family val="2"/>
        <scheme val="minor"/>
      </rPr>
      <t>RF</t>
    </r>
    <r>
      <rPr>
        <vertAlign val="subscript"/>
        <sz val="11"/>
        <rFont val="Calibri"/>
        <family val="2"/>
        <scheme val="minor"/>
      </rPr>
      <t>O</t>
    </r>
    <r>
      <rPr>
        <sz val="11"/>
        <rFont val="Calibri"/>
        <family val="2"/>
        <scheme val="minor"/>
      </rPr>
      <t xml:space="preserve"> based on wall strength</t>
    </r>
  </si>
  <si>
    <r>
      <t>T</t>
    </r>
    <r>
      <rPr>
        <b/>
        <vertAlign val="subscript"/>
        <sz val="10"/>
        <rFont val="Calibri"/>
        <family val="2"/>
        <scheme val="minor"/>
      </rPr>
      <t>cap</t>
    </r>
  </si>
  <si>
    <r>
      <t>T</t>
    </r>
    <r>
      <rPr>
        <b/>
        <vertAlign val="subscript"/>
        <sz val="10"/>
        <rFont val="Calibri"/>
        <family val="2"/>
        <scheme val="minor"/>
      </rPr>
      <t>E</t>
    </r>
    <r>
      <rPr>
        <b/>
        <sz val="10"/>
        <rFont val="Calibri"/>
        <family val="2"/>
        <scheme val="minor"/>
      </rPr>
      <t xml:space="preserve"> </t>
    </r>
  </si>
  <si>
    <r>
      <t>RF</t>
    </r>
    <r>
      <rPr>
        <b/>
        <vertAlign val="subscript"/>
        <sz val="10"/>
        <rFont val="Calibri"/>
        <family val="2"/>
        <scheme val="minor"/>
      </rPr>
      <t>O-W</t>
    </r>
  </si>
  <si>
    <t>Inventory</t>
  </si>
  <si>
    <t>Operating</t>
  </si>
  <si>
    <r>
      <t xml:space="preserve">               b. </t>
    </r>
    <r>
      <rPr>
        <sz val="11"/>
        <rFont val="Calibri"/>
        <family val="2"/>
        <scheme val="minor"/>
      </rPr>
      <t>RF</t>
    </r>
    <r>
      <rPr>
        <vertAlign val="subscript"/>
        <sz val="11"/>
        <rFont val="Calibri"/>
        <family val="2"/>
        <scheme val="minor"/>
      </rPr>
      <t>O</t>
    </r>
    <r>
      <rPr>
        <sz val="11"/>
        <rFont val="Calibri"/>
        <family val="2"/>
        <scheme val="minor"/>
      </rPr>
      <t xml:space="preserve"> based on minimum cover requirements</t>
    </r>
  </si>
  <si>
    <r>
      <t xml:space="preserve">      1.  Operating</t>
    </r>
    <r>
      <rPr>
        <sz val="12"/>
        <rFont val="Calibri"/>
        <family val="2"/>
        <scheme val="minor"/>
      </rPr>
      <t xml:space="preserve"> Load Rating Factor (RF</t>
    </r>
    <r>
      <rPr>
        <vertAlign val="subscript"/>
        <sz val="12"/>
        <rFont val="Calibri"/>
        <family val="2"/>
        <scheme val="minor"/>
      </rPr>
      <t>O</t>
    </r>
    <r>
      <rPr>
        <sz val="12"/>
        <rFont val="Calibri"/>
        <family val="2"/>
        <scheme val="minor"/>
      </rPr>
      <t>):</t>
    </r>
  </si>
  <si>
    <t xml:space="preserve">         Where, </t>
  </si>
  <si>
    <r>
      <t>So,   RF</t>
    </r>
    <r>
      <rPr>
        <i/>
        <vertAlign val="subscript"/>
        <sz val="10"/>
        <rFont val="Times New Roman"/>
        <family val="1"/>
      </rPr>
      <t>O-C</t>
    </r>
    <r>
      <rPr>
        <i/>
        <sz val="10"/>
        <rFont val="Times New Roman"/>
        <family val="1"/>
      </rPr>
      <t xml:space="preserve"> =</t>
    </r>
  </si>
  <si>
    <r>
      <t>RF</t>
    </r>
    <r>
      <rPr>
        <b/>
        <vertAlign val="subscript"/>
        <sz val="10"/>
        <rFont val="Calibri"/>
        <family val="2"/>
        <scheme val="minor"/>
      </rPr>
      <t>O-C</t>
    </r>
  </si>
  <si>
    <r>
      <t>RF</t>
    </r>
    <r>
      <rPr>
        <b/>
        <vertAlign val="subscript"/>
        <sz val="10"/>
        <rFont val="Calibri"/>
        <family val="2"/>
        <scheme val="minor"/>
      </rPr>
      <t>O</t>
    </r>
  </si>
  <si>
    <r>
      <t xml:space="preserve">      2.  Inventory</t>
    </r>
    <r>
      <rPr>
        <sz val="12"/>
        <rFont val="Calibri"/>
        <family val="2"/>
        <scheme val="minor"/>
      </rPr>
      <t xml:space="preserve"> Load Rating Factor (RF</t>
    </r>
    <r>
      <rPr>
        <vertAlign val="subscript"/>
        <sz val="12"/>
        <rFont val="Calibri"/>
        <family val="2"/>
        <scheme val="minor"/>
      </rPr>
      <t>i</t>
    </r>
    <r>
      <rPr>
        <sz val="12"/>
        <rFont val="Calibri"/>
        <family val="2"/>
        <scheme val="minor"/>
      </rPr>
      <t>):</t>
    </r>
  </si>
  <si>
    <r>
      <t xml:space="preserve">               a. </t>
    </r>
    <r>
      <rPr>
        <sz val="11"/>
        <rFont val="Calibri"/>
        <family val="2"/>
        <scheme val="minor"/>
      </rPr>
      <t>RF</t>
    </r>
    <r>
      <rPr>
        <vertAlign val="subscript"/>
        <sz val="11"/>
        <rFont val="Calibri"/>
        <family val="2"/>
        <scheme val="minor"/>
      </rPr>
      <t>i</t>
    </r>
    <r>
      <rPr>
        <sz val="11"/>
        <rFont val="Calibri"/>
        <family val="2"/>
        <scheme val="minor"/>
      </rPr>
      <t xml:space="preserve"> based on wall strength</t>
    </r>
  </si>
  <si>
    <r>
      <t xml:space="preserve">               b. </t>
    </r>
    <r>
      <rPr>
        <sz val="11"/>
        <rFont val="Calibri"/>
        <family val="2"/>
        <scheme val="minor"/>
      </rPr>
      <t>RF</t>
    </r>
    <r>
      <rPr>
        <vertAlign val="subscript"/>
        <sz val="11"/>
        <rFont val="Calibri"/>
        <family val="2"/>
        <scheme val="minor"/>
      </rPr>
      <t>i</t>
    </r>
    <r>
      <rPr>
        <sz val="11"/>
        <rFont val="Calibri"/>
        <family val="2"/>
        <scheme val="minor"/>
      </rPr>
      <t xml:space="preserve"> based on minimum cover requirements</t>
    </r>
  </si>
  <si>
    <r>
      <t>RF</t>
    </r>
    <r>
      <rPr>
        <b/>
        <vertAlign val="subscript"/>
        <sz val="10"/>
        <rFont val="Calibri"/>
        <family val="2"/>
        <scheme val="minor"/>
      </rPr>
      <t>i-w</t>
    </r>
  </si>
  <si>
    <r>
      <t>RF</t>
    </r>
    <r>
      <rPr>
        <b/>
        <vertAlign val="subscript"/>
        <sz val="10"/>
        <rFont val="Calibri"/>
        <family val="2"/>
        <scheme val="minor"/>
      </rPr>
      <t>i-c</t>
    </r>
  </si>
  <si>
    <r>
      <t>RF</t>
    </r>
    <r>
      <rPr>
        <b/>
        <vertAlign val="subscript"/>
        <sz val="10"/>
        <rFont val="Calibri"/>
        <family val="2"/>
        <scheme val="minor"/>
      </rPr>
      <t>i</t>
    </r>
  </si>
  <si>
    <r>
      <t xml:space="preserve">Operating Load Rating Factors, </t>
    </r>
    <r>
      <rPr>
        <b/>
        <i/>
        <sz val="12"/>
        <rFont val="Calibri"/>
        <family val="2"/>
        <scheme val="minor"/>
      </rPr>
      <t>RF</t>
    </r>
    <r>
      <rPr>
        <b/>
        <i/>
        <vertAlign val="subscript"/>
        <sz val="12"/>
        <rFont val="Calibri"/>
        <family val="2"/>
        <scheme val="minor"/>
      </rPr>
      <t>O</t>
    </r>
  </si>
  <si>
    <r>
      <t xml:space="preserve">Inventory Load Rating Factor, </t>
    </r>
    <r>
      <rPr>
        <b/>
        <i/>
        <sz val="12"/>
        <rFont val="Calibri"/>
        <family val="2"/>
        <scheme val="minor"/>
      </rPr>
      <t>RF</t>
    </r>
    <r>
      <rPr>
        <b/>
        <i/>
        <vertAlign val="subscript"/>
        <sz val="12"/>
        <rFont val="Calibri"/>
        <family val="2"/>
        <scheme val="minor"/>
      </rPr>
      <t>i</t>
    </r>
  </si>
  <si>
    <t>yellow shaded areas are required input.</t>
  </si>
  <si>
    <t>Cross-Section Properties</t>
  </si>
  <si>
    <t xml:space="preserve">  </t>
  </si>
  <si>
    <t>For typical structures :</t>
  </si>
  <si>
    <t>For unsymmetrical or deflect more than 5% structures:</t>
  </si>
  <si>
    <t>long span structures:</t>
  </si>
  <si>
    <t>input a value or choose a option from a drop-down list</t>
  </si>
  <si>
    <r>
      <t>[ if W</t>
    </r>
    <r>
      <rPr>
        <vertAlign val="subscript"/>
        <sz val="10"/>
        <rFont val="Calibri"/>
        <family val="2"/>
        <scheme val="minor"/>
      </rPr>
      <t>D (total)</t>
    </r>
    <r>
      <rPr>
        <sz val="10"/>
        <rFont val="Calibri"/>
        <family val="2"/>
        <scheme val="minor"/>
      </rPr>
      <t xml:space="preserve"> &gt; L, use L = W</t>
    </r>
    <r>
      <rPr>
        <vertAlign val="subscript"/>
        <sz val="10"/>
        <rFont val="Calibri"/>
        <family val="2"/>
        <scheme val="minor"/>
      </rPr>
      <t xml:space="preserve">D (total) </t>
    </r>
    <r>
      <rPr>
        <sz val="10"/>
        <rFont val="Calibri"/>
        <family val="2"/>
        <scheme val="minor"/>
      </rPr>
      <t>in the calculations ]</t>
    </r>
  </si>
  <si>
    <r>
      <t xml:space="preserve">  (</t>
    </r>
    <r>
      <rPr>
        <b/>
        <sz val="10"/>
        <rFont val="Calibri"/>
        <family val="2"/>
        <scheme val="minor"/>
      </rPr>
      <t>"←" :</t>
    </r>
    <r>
      <rPr>
        <sz val="10"/>
        <rFont val="Calibri"/>
        <family val="2"/>
        <scheme val="minor"/>
      </rPr>
      <t xml:space="preserve"> choose from a drop-down list)</t>
    </r>
  </si>
  <si>
    <t>Gage Number:</t>
  </si>
  <si>
    <r>
      <t>t</t>
    </r>
    <r>
      <rPr>
        <sz val="10"/>
        <rFont val="Calibri"/>
        <family val="2"/>
        <scheme val="minor"/>
      </rPr>
      <t xml:space="preserve"> (in) =</t>
    </r>
  </si>
  <si>
    <t>Seam Strength (k/ft) =</t>
  </si>
  <si>
    <r>
      <t xml:space="preserve">1.  wall yield strength = </t>
    </r>
    <r>
      <rPr>
        <sz val="10"/>
        <rFont val="Calibri"/>
        <family val="2"/>
      </rPr>
      <t>φ</t>
    </r>
    <r>
      <rPr>
        <vertAlign val="subscript"/>
        <sz val="10"/>
        <rFont val="Calibri"/>
        <family val="2"/>
      </rPr>
      <t xml:space="preserve">1 </t>
    </r>
    <r>
      <rPr>
        <sz val="10"/>
        <rFont val="Calibri"/>
        <family val="2"/>
      </rPr>
      <t>φ</t>
    </r>
    <r>
      <rPr>
        <vertAlign val="subscript"/>
        <sz val="10"/>
        <rFont val="Calibri"/>
        <family val="2"/>
      </rPr>
      <t>loss</t>
    </r>
    <r>
      <rPr>
        <sz val="10"/>
        <rFont val="Calibri"/>
        <family val="2"/>
      </rPr>
      <t xml:space="preserve"> </t>
    </r>
    <r>
      <rPr>
        <sz val="10"/>
        <rFont val="Calibri"/>
        <family val="2"/>
        <scheme val="minor"/>
      </rPr>
      <t>F</t>
    </r>
    <r>
      <rPr>
        <vertAlign val="subscript"/>
        <sz val="10"/>
        <rFont val="Calibri"/>
        <family val="2"/>
        <scheme val="minor"/>
      </rPr>
      <t>y</t>
    </r>
    <r>
      <rPr>
        <sz val="10"/>
        <rFont val="Calibri"/>
        <family val="2"/>
        <scheme val="minor"/>
      </rPr>
      <t xml:space="preserve"> A =</t>
    </r>
  </si>
  <si>
    <t>Fill depth, H =</t>
  </si>
  <si>
    <t>HL-93</t>
  </si>
  <si>
    <r>
      <rPr>
        <sz val="10"/>
        <rFont val="Calibri"/>
        <family val="2"/>
      </rPr>
      <t>←</t>
    </r>
    <r>
      <rPr>
        <sz val="10"/>
        <rFont val="Calibri"/>
        <family val="2"/>
        <scheme val="minor"/>
      </rPr>
      <t>AASHTO DEFINED MINIMUM COVER</t>
    </r>
    <r>
      <rPr>
        <b/>
        <sz val="10"/>
        <rFont val="Calibri"/>
        <family val="2"/>
        <scheme val="minor"/>
      </rPr>
      <t xml:space="preserve"> (AASHTO LRFD table 12.6.6.3-1 &amp; table 12.8.3.1.1-1 for long-span)</t>
    </r>
  </si>
  <si>
    <t>Spiral Rib Steel Pipe</t>
  </si>
  <si>
    <t>Spiral Rib Aluminum Pipe</t>
  </si>
  <si>
    <t>Structural Plate Pipe</t>
  </si>
  <si>
    <t>Long Span Structural Plate</t>
  </si>
  <si>
    <r>
      <rPr>
        <b/>
        <sz val="10"/>
        <color rgb="FFFF0000"/>
        <rFont val="Calibri"/>
        <family val="2"/>
        <scheme val="minor"/>
      </rPr>
      <t>Long Span Structural Plate Structures</t>
    </r>
    <r>
      <rPr>
        <b/>
        <sz val="10"/>
        <color indexed="8"/>
        <rFont val="Calibri"/>
        <family val="2"/>
        <scheme val="minor"/>
      </rPr>
      <t xml:space="preserve"> Minimum Top Arc Thickness Chart (in) (AASHTO LRFD Table 12.8.3.1.1-1)</t>
    </r>
  </si>
  <si>
    <r>
      <rPr>
        <b/>
        <sz val="10"/>
        <color rgb="FFFF0000"/>
        <rFont val="Calibri"/>
        <family val="2"/>
        <scheme val="minor"/>
      </rPr>
      <t>Long Span Structural Plate Structures</t>
    </r>
    <r>
      <rPr>
        <b/>
        <sz val="10"/>
        <color indexed="8"/>
        <rFont val="Calibri"/>
        <family val="2"/>
        <scheme val="minor"/>
      </rPr>
      <t xml:space="preserve"> Minimum Cover Chart (ft.) (AASHTO LRFD Table 12.8.3.1.1-1)</t>
    </r>
  </si>
  <si>
    <r>
      <rPr>
        <sz val="16"/>
        <rFont val="Arial"/>
        <family val="2"/>
      </rPr>
      <t>From</t>
    </r>
    <r>
      <rPr>
        <sz val="16"/>
        <color rgb="FFFF0000"/>
        <rFont val="Arial"/>
        <family val="2"/>
      </rPr>
      <t xml:space="preserve"> AASHTO LRFD SECTION 12, APPENDIX A12</t>
    </r>
  </si>
  <si>
    <t>From AASHTO LRFD SECTION 12, APPENDIX A12</t>
  </si>
  <si>
    <r>
      <t xml:space="preserve">2.  wall buckling strength = f </t>
    </r>
    <r>
      <rPr>
        <sz val="10"/>
        <rFont val="Calibri"/>
        <family val="2"/>
      </rPr>
      <t>φ</t>
    </r>
    <r>
      <rPr>
        <vertAlign val="subscript"/>
        <sz val="10"/>
        <rFont val="Calibri"/>
        <family val="2"/>
      </rPr>
      <t xml:space="preserve">1 </t>
    </r>
    <r>
      <rPr>
        <sz val="10"/>
        <rFont val="Calibri"/>
        <family val="2"/>
      </rPr>
      <t>φ</t>
    </r>
    <r>
      <rPr>
        <vertAlign val="subscript"/>
        <sz val="10"/>
        <rFont val="Calibri"/>
        <family val="2"/>
      </rPr>
      <t>loss</t>
    </r>
    <r>
      <rPr>
        <sz val="10"/>
        <rFont val="Calibri"/>
        <family val="2"/>
      </rPr>
      <t xml:space="preserve"> </t>
    </r>
    <r>
      <rPr>
        <sz val="10"/>
        <rFont val="Calibri"/>
        <family val="2"/>
        <scheme val="minor"/>
      </rPr>
      <t>f</t>
    </r>
    <r>
      <rPr>
        <vertAlign val="subscript"/>
        <sz val="10"/>
        <rFont val="Calibri"/>
        <family val="2"/>
        <scheme val="minor"/>
      </rPr>
      <t>cr</t>
    </r>
    <r>
      <rPr>
        <sz val="10"/>
        <rFont val="Calibri"/>
        <family val="2"/>
        <scheme val="minor"/>
      </rPr>
      <t xml:space="preserve"> A =</t>
    </r>
  </si>
  <si>
    <t>IM =</t>
  </si>
  <si>
    <r>
      <t xml:space="preserve">Based on </t>
    </r>
    <r>
      <rPr>
        <b/>
        <sz val="10"/>
        <rFont val="Calibri"/>
        <family val="2"/>
        <scheme val="minor"/>
      </rPr>
      <t>AASHTO LRFD 3.6.2.2:</t>
    </r>
  </si>
  <si>
    <r>
      <t>33(1.0-0.125 D</t>
    </r>
    <r>
      <rPr>
        <vertAlign val="subscript"/>
        <sz val="10"/>
        <rFont val="Calibri"/>
        <family val="2"/>
        <scheme val="minor"/>
      </rPr>
      <t>E</t>
    </r>
    <r>
      <rPr>
        <sz val="10"/>
        <rFont val="Calibri"/>
        <family val="2"/>
        <scheme val="minor"/>
      </rPr>
      <t xml:space="preserve">) </t>
    </r>
    <r>
      <rPr>
        <sz val="10"/>
        <rFont val="Calibri"/>
        <family val="2"/>
      </rPr>
      <t>≥ 0%</t>
    </r>
  </si>
  <si>
    <r>
      <t>D</t>
    </r>
    <r>
      <rPr>
        <vertAlign val="subscript"/>
        <sz val="10"/>
        <rFont val="Calibri"/>
        <family val="2"/>
        <scheme val="minor"/>
      </rPr>
      <t>E</t>
    </r>
    <r>
      <rPr>
        <sz val="10"/>
        <rFont val="Calibri"/>
        <family val="2"/>
        <scheme val="minor"/>
      </rPr>
      <t xml:space="preserve"> = the minimum depth of earth cover above the structure (ft)</t>
    </r>
  </si>
  <si>
    <t>where,</t>
  </si>
  <si>
    <r>
      <t xml:space="preserve">Live load Dynamic Load Allowance,   </t>
    </r>
    <r>
      <rPr>
        <b/>
        <sz val="10"/>
        <rFont val="Calibri"/>
        <family val="2"/>
        <scheme val="minor"/>
      </rPr>
      <t>IM</t>
    </r>
    <r>
      <rPr>
        <sz val="10"/>
        <rFont val="Calibri"/>
        <family val="2"/>
        <scheme val="minor"/>
      </rPr>
      <t xml:space="preserve"> =</t>
    </r>
  </si>
  <si>
    <r>
      <rPr>
        <sz val="10"/>
        <rFont val="Times New Roman"/>
        <family val="1"/>
      </rPr>
      <t>(1+</t>
    </r>
    <r>
      <rPr>
        <b/>
        <sz val="10"/>
        <rFont val="Times New Roman"/>
        <family val="1"/>
      </rPr>
      <t>IM</t>
    </r>
    <r>
      <rPr>
        <sz val="10"/>
        <rFont val="Times New Roman"/>
        <family val="1"/>
      </rPr>
      <t>) =</t>
    </r>
  </si>
  <si>
    <r>
      <t>T</t>
    </r>
    <r>
      <rPr>
        <b/>
        <vertAlign val="subscript"/>
        <sz val="10"/>
        <rFont val="Calibri"/>
        <family val="2"/>
        <scheme val="minor"/>
      </rPr>
      <t>(L+IM)</t>
    </r>
  </si>
  <si>
    <r>
      <rPr>
        <b/>
        <sz val="10"/>
        <rFont val="Calibri"/>
        <family val="2"/>
        <scheme val="minor"/>
      </rPr>
      <t>ρ</t>
    </r>
    <r>
      <rPr>
        <b/>
        <sz val="9"/>
        <rFont val="Calibri"/>
        <family val="2"/>
        <scheme val="minor"/>
      </rPr>
      <t xml:space="preserve"> </t>
    </r>
    <r>
      <rPr>
        <b/>
        <vertAlign val="subscript"/>
        <sz val="9"/>
        <rFont val="Calibri"/>
        <family val="2"/>
        <scheme val="minor"/>
      </rPr>
      <t xml:space="preserve">(L+IM) </t>
    </r>
    <r>
      <rPr>
        <b/>
        <sz val="9"/>
        <rFont val="Calibri"/>
        <family val="2"/>
        <scheme val="minor"/>
      </rPr>
      <t>= P</t>
    </r>
    <r>
      <rPr>
        <b/>
        <vertAlign val="subscript"/>
        <sz val="9"/>
        <rFont val="Calibri"/>
        <family val="2"/>
        <scheme val="minor"/>
      </rPr>
      <t>D</t>
    </r>
    <r>
      <rPr>
        <b/>
        <sz val="9"/>
        <rFont val="Calibri"/>
        <family val="2"/>
        <scheme val="minor"/>
      </rPr>
      <t>/A</t>
    </r>
    <r>
      <rPr>
        <b/>
        <vertAlign val="subscript"/>
        <sz val="9"/>
        <rFont val="Calibri"/>
        <family val="2"/>
        <scheme val="minor"/>
      </rPr>
      <t xml:space="preserve">D </t>
    </r>
    <r>
      <rPr>
        <b/>
        <sz val="9"/>
        <rFont val="Calibri"/>
        <family val="2"/>
        <scheme val="minor"/>
      </rPr>
      <t>=</t>
    </r>
  </si>
  <si>
    <r>
      <t xml:space="preserve">1.   </t>
    </r>
    <r>
      <rPr>
        <sz val="10"/>
        <rFont val="Calibri"/>
        <family val="2"/>
      </rPr>
      <t xml:space="preserve">ρ </t>
    </r>
    <r>
      <rPr>
        <vertAlign val="subscript"/>
        <sz val="10"/>
        <rFont val="Calibri"/>
        <family val="2"/>
      </rPr>
      <t>(L+IM)</t>
    </r>
    <r>
      <rPr>
        <sz val="10"/>
        <rFont val="Calibri"/>
        <family val="2"/>
      </rPr>
      <t xml:space="preserve">  (S/2) =</t>
    </r>
  </si>
  <si>
    <r>
      <t xml:space="preserve">2.   </t>
    </r>
    <r>
      <rPr>
        <sz val="10"/>
        <rFont val="Calibri"/>
        <family val="2"/>
      </rPr>
      <t xml:space="preserve">ρ </t>
    </r>
    <r>
      <rPr>
        <vertAlign val="subscript"/>
        <sz val="10"/>
        <rFont val="Calibri"/>
        <family val="2"/>
      </rPr>
      <t>(L+IM)</t>
    </r>
    <r>
      <rPr>
        <sz val="10"/>
        <rFont val="Calibri"/>
        <family val="2"/>
      </rPr>
      <t xml:space="preserve">  R</t>
    </r>
    <r>
      <rPr>
        <vertAlign val="subscript"/>
        <sz val="10"/>
        <rFont val="Calibri"/>
        <family val="2"/>
      </rPr>
      <t>t</t>
    </r>
    <r>
      <rPr>
        <sz val="10"/>
        <rFont val="Calibri"/>
        <family val="2"/>
      </rPr>
      <t xml:space="preserve"> =</t>
    </r>
  </si>
  <si>
    <r>
      <t xml:space="preserve">The surface tire contact area for HL-93 loading </t>
    </r>
    <r>
      <rPr>
        <sz val="10"/>
        <rFont val="Calibri"/>
        <family val="2"/>
        <scheme val="minor"/>
      </rPr>
      <t>(per AASHTO LRFD 3.6.1.2.5)</t>
    </r>
    <r>
      <rPr>
        <b/>
        <sz val="10"/>
        <rFont val="Calibri"/>
        <family val="2"/>
        <scheme val="minor"/>
      </rPr>
      <t>:</t>
    </r>
  </si>
  <si>
    <r>
      <t xml:space="preserve">The surface tire contact area for Ohio Legal Trucks </t>
    </r>
    <r>
      <rPr>
        <sz val="10"/>
        <rFont val="Calibri"/>
        <family val="2"/>
        <scheme val="minor"/>
      </rPr>
      <t xml:space="preserve"> (per AASHTO LRFD C3.6.1.2.5 Guideline):</t>
    </r>
  </si>
  <si>
    <t>Distribution of wheel loads through earth fills (per AASHTO LRFD 3.6.1.2.6):</t>
  </si>
  <si>
    <r>
      <t xml:space="preserve">for </t>
    </r>
    <r>
      <rPr>
        <b/>
        <sz val="11"/>
        <rFont val="Calibri"/>
        <family val="2"/>
        <scheme val="minor"/>
      </rPr>
      <t>HL-93</t>
    </r>
    <r>
      <rPr>
        <sz val="11"/>
        <rFont val="Calibri"/>
        <family val="2"/>
        <scheme val="minor"/>
      </rPr>
      <t xml:space="preserve"> Design Truck:</t>
    </r>
  </si>
  <si>
    <t>IM = dynamic load allowance percent</t>
  </si>
  <si>
    <t>So,</t>
  </si>
  <si>
    <t>6 x 2 (steel structural plate pipe)</t>
  </si>
  <si>
    <r>
      <rPr>
        <b/>
        <sz val="10"/>
        <rFont val="Calibri"/>
        <family val="2"/>
        <scheme val="minor"/>
      </rPr>
      <t>Where</t>
    </r>
    <r>
      <rPr>
        <sz val="10"/>
        <rFont val="Calibri"/>
        <family val="2"/>
        <scheme val="minor"/>
      </rPr>
      <t xml:space="preserve">, </t>
    </r>
    <r>
      <rPr>
        <b/>
        <sz val="10"/>
        <rFont val="Calibri"/>
        <family val="2"/>
        <scheme val="minor"/>
      </rPr>
      <t>W</t>
    </r>
    <r>
      <rPr>
        <b/>
        <vertAlign val="subscript"/>
        <sz val="10"/>
        <rFont val="Calibri"/>
        <family val="2"/>
        <scheme val="minor"/>
      </rPr>
      <t>T</t>
    </r>
    <r>
      <rPr>
        <sz val="10"/>
        <rFont val="Calibri"/>
        <family val="2"/>
        <scheme val="minor"/>
      </rPr>
      <t xml:space="preserve"> = Tire contact width, </t>
    </r>
    <r>
      <rPr>
        <b/>
        <sz val="10"/>
        <rFont val="Calibri"/>
        <family val="2"/>
        <scheme val="minor"/>
      </rPr>
      <t>L</t>
    </r>
    <r>
      <rPr>
        <b/>
        <vertAlign val="subscript"/>
        <sz val="10"/>
        <rFont val="Calibri"/>
        <family val="2"/>
        <scheme val="minor"/>
      </rPr>
      <t>T</t>
    </r>
    <r>
      <rPr>
        <sz val="10"/>
        <rFont val="Calibri"/>
        <family val="2"/>
        <scheme val="minor"/>
      </rPr>
      <t xml:space="preserve"> = Tire contact length, </t>
    </r>
    <r>
      <rPr>
        <b/>
        <sz val="10"/>
        <rFont val="Calibri"/>
        <family val="2"/>
        <scheme val="minor"/>
      </rPr>
      <t>W</t>
    </r>
    <r>
      <rPr>
        <b/>
        <vertAlign val="subscript"/>
        <sz val="10"/>
        <rFont val="Calibri"/>
        <family val="2"/>
        <scheme val="minor"/>
      </rPr>
      <t>D</t>
    </r>
    <r>
      <rPr>
        <sz val="10"/>
        <rFont val="Calibri"/>
        <family val="2"/>
        <scheme val="minor"/>
      </rPr>
      <t xml:space="preserve"> = Distributed load width, </t>
    </r>
    <r>
      <rPr>
        <b/>
        <sz val="10"/>
        <rFont val="Calibri"/>
        <family val="2"/>
        <scheme val="minor"/>
      </rPr>
      <t>L</t>
    </r>
    <r>
      <rPr>
        <b/>
        <vertAlign val="subscript"/>
        <sz val="10"/>
        <rFont val="Calibri"/>
        <family val="2"/>
        <scheme val="minor"/>
      </rPr>
      <t>D</t>
    </r>
    <r>
      <rPr>
        <sz val="10"/>
        <rFont val="Calibri"/>
        <family val="2"/>
        <scheme val="minor"/>
      </rPr>
      <t xml:space="preserve"> = Distributed load length</t>
    </r>
  </si>
  <si>
    <r>
      <t>W</t>
    </r>
    <r>
      <rPr>
        <vertAlign val="subscript"/>
        <sz val="10"/>
        <rFont val="Calibri"/>
        <family val="2"/>
        <scheme val="minor"/>
      </rPr>
      <t xml:space="preserve">T </t>
    </r>
    <r>
      <rPr>
        <sz val="10"/>
        <rFont val="Calibri"/>
        <family val="2"/>
        <scheme val="minor"/>
      </rPr>
      <t>(ft)</t>
    </r>
    <r>
      <rPr>
        <vertAlign val="subscript"/>
        <sz val="10"/>
        <rFont val="Calibri"/>
        <family val="2"/>
        <scheme val="minor"/>
      </rPr>
      <t xml:space="preserve"> </t>
    </r>
    <r>
      <rPr>
        <sz val="10"/>
        <rFont val="Calibri"/>
        <family val="2"/>
        <scheme val="minor"/>
      </rPr>
      <t>=</t>
    </r>
  </si>
  <si>
    <r>
      <t>L</t>
    </r>
    <r>
      <rPr>
        <vertAlign val="subscript"/>
        <sz val="10"/>
        <rFont val="Calibri"/>
        <family val="2"/>
        <scheme val="minor"/>
      </rPr>
      <t>T</t>
    </r>
    <r>
      <rPr>
        <sz val="10"/>
        <rFont val="Calibri"/>
        <family val="2"/>
        <scheme val="minor"/>
      </rPr>
      <t xml:space="preserve"> (ft)</t>
    </r>
    <r>
      <rPr>
        <vertAlign val="subscript"/>
        <sz val="10"/>
        <rFont val="Calibri"/>
        <family val="2"/>
        <scheme val="minor"/>
      </rPr>
      <t xml:space="preserve"> </t>
    </r>
    <r>
      <rPr>
        <sz val="10"/>
        <rFont val="Calibri"/>
        <family val="2"/>
        <scheme val="minor"/>
      </rPr>
      <t>=</t>
    </r>
  </si>
  <si>
    <r>
      <t>W</t>
    </r>
    <r>
      <rPr>
        <vertAlign val="subscript"/>
        <sz val="10"/>
        <rFont val="Calibri"/>
        <family val="2"/>
        <scheme val="minor"/>
      </rPr>
      <t>D</t>
    </r>
    <r>
      <rPr>
        <sz val="10"/>
        <rFont val="Calibri"/>
        <family val="2"/>
        <scheme val="minor"/>
      </rPr>
      <t xml:space="preserve"> = 1.67+</t>
    </r>
    <r>
      <rPr>
        <sz val="10"/>
        <rFont val="Calibri"/>
        <family val="2"/>
      </rPr>
      <t>φ</t>
    </r>
    <r>
      <rPr>
        <vertAlign val="subscript"/>
        <sz val="10"/>
        <rFont val="Calibri"/>
        <family val="2"/>
      </rPr>
      <t>E</t>
    </r>
    <r>
      <rPr>
        <sz val="10"/>
        <rFont val="Calibri"/>
        <family val="2"/>
        <scheme val="minor"/>
      </rPr>
      <t>H=</t>
    </r>
  </si>
  <si>
    <t>p = wheel load (kips)</t>
  </si>
  <si>
    <r>
      <t>L</t>
    </r>
    <r>
      <rPr>
        <vertAlign val="subscript"/>
        <sz val="10"/>
        <rFont val="Calibri"/>
        <family val="2"/>
        <scheme val="minor"/>
      </rPr>
      <t>D</t>
    </r>
    <r>
      <rPr>
        <sz val="10"/>
        <rFont val="Calibri"/>
        <family val="2"/>
        <scheme val="minor"/>
      </rPr>
      <t xml:space="preserve"> = 0.83 + φ</t>
    </r>
    <r>
      <rPr>
        <vertAlign val="subscript"/>
        <sz val="10"/>
        <rFont val="Calibri"/>
        <family val="2"/>
        <scheme val="minor"/>
      </rPr>
      <t>E</t>
    </r>
    <r>
      <rPr>
        <sz val="10"/>
        <rFont val="Calibri"/>
        <family val="2"/>
        <scheme val="minor"/>
      </rPr>
      <t>H =</t>
    </r>
  </si>
  <si>
    <r>
      <t>W</t>
    </r>
    <r>
      <rPr>
        <vertAlign val="subscript"/>
        <sz val="11"/>
        <rFont val="Calibri"/>
        <family val="2"/>
        <scheme val="minor"/>
      </rPr>
      <t>D</t>
    </r>
    <r>
      <rPr>
        <sz val="11"/>
        <rFont val="Calibri"/>
        <family val="2"/>
        <scheme val="minor"/>
      </rPr>
      <t xml:space="preserve"> = W</t>
    </r>
    <r>
      <rPr>
        <vertAlign val="subscript"/>
        <sz val="11"/>
        <rFont val="Calibri"/>
        <family val="2"/>
        <scheme val="minor"/>
      </rPr>
      <t>T</t>
    </r>
    <r>
      <rPr>
        <sz val="11"/>
        <rFont val="Calibri"/>
        <family val="2"/>
        <scheme val="minor"/>
      </rPr>
      <t xml:space="preserve"> + φ</t>
    </r>
    <r>
      <rPr>
        <vertAlign val="subscript"/>
        <sz val="11"/>
        <rFont val="Calibri"/>
        <family val="2"/>
        <scheme val="minor"/>
      </rPr>
      <t>E</t>
    </r>
    <r>
      <rPr>
        <sz val="11"/>
        <rFont val="Calibri"/>
        <family val="2"/>
        <scheme val="minor"/>
      </rPr>
      <t>H =</t>
    </r>
  </si>
  <si>
    <r>
      <t>L</t>
    </r>
    <r>
      <rPr>
        <vertAlign val="subscript"/>
        <sz val="11"/>
        <rFont val="Calibri"/>
        <family val="2"/>
        <scheme val="minor"/>
      </rPr>
      <t>D</t>
    </r>
    <r>
      <rPr>
        <sz val="11"/>
        <rFont val="Calibri"/>
        <family val="2"/>
        <scheme val="minor"/>
      </rPr>
      <t xml:space="preserve"> = L</t>
    </r>
    <r>
      <rPr>
        <vertAlign val="subscript"/>
        <sz val="11"/>
        <rFont val="Calibri"/>
        <family val="2"/>
        <scheme val="minor"/>
      </rPr>
      <t>T</t>
    </r>
    <r>
      <rPr>
        <sz val="11"/>
        <rFont val="Calibri"/>
        <family val="2"/>
        <scheme val="minor"/>
      </rPr>
      <t xml:space="preserve"> + φ</t>
    </r>
    <r>
      <rPr>
        <vertAlign val="subscript"/>
        <sz val="11"/>
        <rFont val="Calibri"/>
        <family val="2"/>
        <scheme val="minor"/>
      </rPr>
      <t>E</t>
    </r>
    <r>
      <rPr>
        <sz val="11"/>
        <rFont val="Calibri"/>
        <family val="2"/>
        <scheme val="minor"/>
      </rPr>
      <t>H =</t>
    </r>
  </si>
  <si>
    <r>
      <t>φ</t>
    </r>
    <r>
      <rPr>
        <vertAlign val="subscript"/>
        <sz val="10"/>
        <rFont val="Calibri"/>
        <family val="2"/>
        <scheme val="minor"/>
      </rPr>
      <t>E</t>
    </r>
    <r>
      <rPr>
        <sz val="10"/>
        <rFont val="Calibri"/>
        <family val="2"/>
        <scheme val="minor"/>
      </rPr>
      <t xml:space="preserve"> = Factor for Distribution of Live Load with Depth of Fill based on Backfill Type</t>
    </r>
    <r>
      <rPr>
        <sz val="9"/>
        <rFont val="Calibri"/>
        <family val="2"/>
        <scheme val="minor"/>
      </rPr>
      <t xml:space="preserve"> (per AASHTO LRFD 3.6.1.2.6)=</t>
    </r>
  </si>
  <si>
    <r>
      <t xml:space="preserve">Calculations will be based on </t>
    </r>
    <r>
      <rPr>
        <b/>
        <sz val="10"/>
        <rFont val="Calibri"/>
        <family val="2"/>
        <scheme val="minor"/>
      </rPr>
      <t>AASHTO LRFD 3.6.1.2.5 &amp; 6</t>
    </r>
    <r>
      <rPr>
        <sz val="10"/>
        <rFont val="Calibri"/>
        <family val="2"/>
        <scheme val="minor"/>
      </rPr>
      <t>:</t>
    </r>
  </si>
  <si>
    <r>
      <rPr>
        <b/>
        <sz val="10"/>
        <rFont val="Calibri"/>
        <family val="2"/>
        <scheme val="minor"/>
      </rPr>
      <t>W</t>
    </r>
    <r>
      <rPr>
        <b/>
        <vertAlign val="subscript"/>
        <sz val="10"/>
        <rFont val="Calibri"/>
        <family val="2"/>
        <scheme val="minor"/>
      </rPr>
      <t>T</t>
    </r>
    <r>
      <rPr>
        <b/>
        <sz val="10"/>
        <rFont val="Calibri"/>
        <family val="2"/>
        <scheme val="minor"/>
      </rPr>
      <t xml:space="preserve"> </t>
    </r>
    <r>
      <rPr>
        <sz val="10"/>
        <rFont val="Calibri"/>
        <family val="2"/>
        <scheme val="minor"/>
      </rPr>
      <t>(in)</t>
    </r>
    <r>
      <rPr>
        <b/>
        <sz val="10"/>
        <rFont val="Calibri"/>
        <family val="2"/>
        <scheme val="minor"/>
      </rPr>
      <t xml:space="preserve"> </t>
    </r>
    <r>
      <rPr>
        <sz val="10"/>
        <rFont val="Calibri"/>
        <family val="2"/>
        <scheme val="minor"/>
      </rPr>
      <t>=</t>
    </r>
  </si>
  <si>
    <r>
      <rPr>
        <b/>
        <sz val="10"/>
        <rFont val="Calibri"/>
        <family val="2"/>
        <scheme val="minor"/>
      </rPr>
      <t>L</t>
    </r>
    <r>
      <rPr>
        <b/>
        <vertAlign val="subscript"/>
        <sz val="10"/>
        <rFont val="Calibri"/>
        <family val="2"/>
        <scheme val="minor"/>
      </rPr>
      <t>T</t>
    </r>
    <r>
      <rPr>
        <b/>
        <sz val="10"/>
        <rFont val="Calibri"/>
        <family val="2"/>
        <scheme val="minor"/>
      </rPr>
      <t xml:space="preserve"> </t>
    </r>
    <r>
      <rPr>
        <sz val="10"/>
        <rFont val="Calibri"/>
        <family val="2"/>
        <scheme val="minor"/>
      </rPr>
      <t>(in)</t>
    </r>
    <r>
      <rPr>
        <b/>
        <sz val="10"/>
        <rFont val="Calibri"/>
        <family val="2"/>
        <scheme val="minor"/>
      </rPr>
      <t xml:space="preserve"> </t>
    </r>
    <r>
      <rPr>
        <sz val="10"/>
        <rFont val="Calibri"/>
        <family val="2"/>
        <scheme val="minor"/>
      </rPr>
      <t>=</t>
    </r>
  </si>
  <si>
    <t xml:space="preserve">P/0.8  </t>
  </si>
  <si>
    <r>
      <rPr>
        <b/>
        <sz val="10"/>
        <rFont val="Calibri"/>
        <family val="2"/>
        <scheme val="minor"/>
      </rPr>
      <t>W</t>
    </r>
    <r>
      <rPr>
        <b/>
        <vertAlign val="subscript"/>
        <sz val="10"/>
        <rFont val="Calibri"/>
        <family val="2"/>
        <scheme val="minor"/>
      </rPr>
      <t>T</t>
    </r>
    <r>
      <rPr>
        <sz val="10"/>
        <rFont val="Calibri"/>
        <family val="2"/>
        <scheme val="minor"/>
      </rPr>
      <t xml:space="preserve"> = 20" =</t>
    </r>
  </si>
  <si>
    <r>
      <rPr>
        <b/>
        <sz val="10"/>
        <rFont val="Calibri"/>
        <family val="2"/>
        <scheme val="minor"/>
      </rPr>
      <t>L</t>
    </r>
    <r>
      <rPr>
        <b/>
        <vertAlign val="subscript"/>
        <sz val="10"/>
        <rFont val="Calibri"/>
        <family val="2"/>
        <scheme val="minor"/>
      </rPr>
      <t>T</t>
    </r>
    <r>
      <rPr>
        <sz val="10"/>
        <rFont val="Calibri"/>
        <family val="2"/>
        <scheme val="minor"/>
      </rPr>
      <t xml:space="preserve"> = 10" =</t>
    </r>
  </si>
  <si>
    <t>Strength I</t>
  </si>
  <si>
    <t>Bridge Type</t>
  </si>
  <si>
    <t>Limit State</t>
  </si>
  <si>
    <r>
      <t>6.4</t>
    </r>
    <r>
      <rPr>
        <sz val="10"/>
        <rFont val="Symbol"/>
        <family val="1"/>
        <charset val="2"/>
      </rPr>
      <t>g</t>
    </r>
    <r>
      <rPr>
        <sz val="10"/>
        <rFont val="Calibri"/>
        <family val="2"/>
      </rPr>
      <t xml:space="preserve">(1+IM/100) </t>
    </r>
  </si>
  <si>
    <r>
      <rPr>
        <sz val="10"/>
        <rFont val="Symbol"/>
        <family val="1"/>
        <charset val="2"/>
      </rPr>
      <t>g</t>
    </r>
    <r>
      <rPr>
        <sz val="10"/>
        <rFont val="Calibri"/>
        <family val="2"/>
      </rPr>
      <t xml:space="preserve"> </t>
    </r>
    <r>
      <rPr>
        <sz val="10"/>
        <rFont val="Calibri"/>
        <family val="2"/>
        <scheme val="minor"/>
      </rPr>
      <t>= Load Factor for Ohio Legal Loads</t>
    </r>
    <r>
      <rPr>
        <sz val="10"/>
        <rFont val="Calibri"/>
        <family val="2"/>
      </rPr>
      <t xml:space="preserve"> </t>
    </r>
    <r>
      <rPr>
        <sz val="10"/>
        <rFont val="Symbol"/>
        <family val="1"/>
        <charset val="2"/>
      </rPr>
      <t>g</t>
    </r>
    <r>
      <rPr>
        <sz val="10"/>
        <rFont val="Calibri"/>
        <family val="2"/>
      </rPr>
      <t xml:space="preserve"> </t>
    </r>
    <r>
      <rPr>
        <vertAlign val="subscript"/>
        <sz val="10"/>
        <rFont val="Calibri"/>
        <family val="2"/>
        <scheme val="minor"/>
      </rPr>
      <t>LL</t>
    </r>
    <r>
      <rPr>
        <sz val="10"/>
        <rFont val="Calibri"/>
        <family val="2"/>
      </rPr>
      <t xml:space="preserve"> =</t>
    </r>
  </si>
  <si>
    <t>(AASHTO LRFD 12.7.2.4)</t>
  </si>
  <si>
    <r>
      <t>Buckling Strength Reduction Factor,</t>
    </r>
    <r>
      <rPr>
        <sz val="11"/>
        <rFont val="Calibri"/>
        <family val="2"/>
        <scheme val="minor"/>
      </rPr>
      <t xml:space="preserve"> f </t>
    </r>
    <r>
      <rPr>
        <b/>
        <sz val="10"/>
        <color rgb="FFFF0000"/>
        <rFont val="Calibri"/>
        <family val="2"/>
        <scheme val="minor"/>
      </rPr>
      <t>*</t>
    </r>
    <r>
      <rPr>
        <sz val="11"/>
        <rFont val="Calibri"/>
        <family val="2"/>
        <scheme val="minor"/>
      </rPr>
      <t xml:space="preserve"> </t>
    </r>
    <r>
      <rPr>
        <sz val="9"/>
        <rFont val="Calibri"/>
        <family val="2"/>
        <scheme val="minor"/>
      </rPr>
      <t>=</t>
    </r>
  </si>
  <si>
    <r>
      <t>T</t>
    </r>
    <r>
      <rPr>
        <vertAlign val="subscript"/>
        <sz val="10"/>
        <rFont val="Calibri"/>
        <family val="2"/>
        <scheme val="minor"/>
      </rPr>
      <t>(L+IM)</t>
    </r>
    <r>
      <rPr>
        <sz val="10"/>
        <rFont val="Calibri"/>
        <family val="2"/>
        <scheme val="minor"/>
      </rPr>
      <t xml:space="preserve"> = higher value of :</t>
    </r>
  </si>
  <si>
    <t>HL-93 Loading</t>
  </si>
  <si>
    <t>LRFR Load Factors</t>
  </si>
  <si>
    <t>Load Rating Input Sheet</t>
  </si>
  <si>
    <t>Pipe Seam Strength</t>
  </si>
  <si>
    <t>Load Factors</t>
  </si>
  <si>
    <t>Span Length "S" (ft) =</t>
  </si>
  <si>
    <t>Rise "R" (ft) =</t>
  </si>
  <si>
    <t>Longitudinal Length of Structure "L" (ft) =</t>
  </si>
  <si>
    <t>t (in) =</t>
  </si>
  <si>
    <t>Corrugation (if known)</t>
  </si>
  <si>
    <t>Gage number (if known)</t>
  </si>
  <si>
    <r>
      <t xml:space="preserve">Pipe Crown Deflection </t>
    </r>
    <r>
      <rPr>
        <b/>
        <sz val="11"/>
        <color rgb="FFFF0000"/>
        <rFont val="Calibri"/>
        <family val="2"/>
        <scheme val="minor"/>
      </rPr>
      <t>**</t>
    </r>
    <r>
      <rPr>
        <sz val="11"/>
        <rFont val="Calibri"/>
        <family val="2"/>
        <scheme val="minor"/>
      </rPr>
      <t xml:space="preserve"> (if any) =</t>
    </r>
  </si>
  <si>
    <t>Metal Loss based on materials field evaluation (if any) =</t>
  </si>
  <si>
    <r>
      <rPr>
        <b/>
        <sz val="11"/>
        <color rgb="FFFF0000"/>
        <rFont val="Calibri"/>
        <family val="2"/>
        <scheme val="minor"/>
      </rPr>
      <t>**</t>
    </r>
    <r>
      <rPr>
        <b/>
        <sz val="11"/>
        <color rgb="FF000000"/>
        <rFont val="Calibri"/>
        <family val="2"/>
        <scheme val="minor"/>
      </rPr>
      <t xml:space="preserve"> </t>
    </r>
    <r>
      <rPr>
        <sz val="11"/>
        <color rgb="FF000000"/>
        <rFont val="Calibri"/>
        <family val="2"/>
        <scheme val="minor"/>
      </rPr>
      <t>reduction in rise divided by the span length from design shape in the unit of percentage</t>
    </r>
  </si>
  <si>
    <r>
      <rPr>
        <b/>
        <sz val="9"/>
        <rFont val="Calibri"/>
        <family val="2"/>
        <scheme val="minor"/>
      </rPr>
      <t>Note</t>
    </r>
    <r>
      <rPr>
        <sz val="9"/>
        <rFont val="Calibri"/>
        <family val="2"/>
        <scheme val="minor"/>
      </rPr>
      <t>: if corrugation &amp; gage number are known, leave the input cells for "c", "d" &amp; "t" blank; if corrugation &amp; gage number are unknown, field measurements of "c", "d" &amp; "t" are required.</t>
    </r>
  </si>
  <si>
    <r>
      <t>Structure Information</t>
    </r>
    <r>
      <rPr>
        <sz val="16"/>
        <rFont val="Calibri"/>
        <family val="2"/>
        <scheme val="minor"/>
      </rPr>
      <t xml:space="preserve"> </t>
    </r>
    <r>
      <rPr>
        <sz val="14"/>
        <rFont val="Calibri"/>
        <family val="2"/>
        <scheme val="minor"/>
      </rPr>
      <t>(from existing bridge plans &amp; field measurements):</t>
    </r>
  </si>
  <si>
    <t>Backfill</t>
  </si>
  <si>
    <t>Pipe Cross-Section Properties</t>
  </si>
  <si>
    <t>Loaded Rated By:</t>
  </si>
  <si>
    <r>
      <rPr>
        <sz val="12"/>
        <rFont val="Calibri"/>
        <family val="2"/>
        <scheme val="minor"/>
      </rPr>
      <t>r</t>
    </r>
    <r>
      <rPr>
        <sz val="12"/>
        <rFont val="Calibri"/>
        <family val="2"/>
        <scheme val="minor"/>
      </rPr>
      <t xml:space="preserve"> </t>
    </r>
    <r>
      <rPr>
        <sz val="10"/>
        <rFont val="Calibri"/>
        <family val="2"/>
        <scheme val="minor"/>
      </rPr>
      <t>(in) =</t>
    </r>
  </si>
  <si>
    <r>
      <t>A</t>
    </r>
    <r>
      <rPr>
        <vertAlign val="subscript"/>
        <sz val="11"/>
        <rFont val="Calibri"/>
        <family val="2"/>
        <scheme val="minor"/>
      </rPr>
      <t>s</t>
    </r>
    <r>
      <rPr>
        <sz val="11"/>
        <rFont val="Calibri"/>
        <family val="2"/>
        <scheme val="minor"/>
      </rPr>
      <t xml:space="preserve"> (in</t>
    </r>
    <r>
      <rPr>
        <vertAlign val="superscript"/>
        <sz val="11"/>
        <rFont val="Calibri"/>
        <family val="2"/>
        <scheme val="minor"/>
      </rPr>
      <t>2</t>
    </r>
    <r>
      <rPr>
        <sz val="11"/>
        <rFont val="Calibri"/>
        <family val="2"/>
        <scheme val="minor"/>
      </rPr>
      <t>/ft) =</t>
    </r>
  </si>
  <si>
    <r>
      <t xml:space="preserve">I </t>
    </r>
    <r>
      <rPr>
        <sz val="11"/>
        <rFont val="Calibri"/>
        <family val="2"/>
        <scheme val="minor"/>
      </rPr>
      <t>x 10</t>
    </r>
    <r>
      <rPr>
        <vertAlign val="superscript"/>
        <sz val="11"/>
        <rFont val="Calibri"/>
        <family val="2"/>
        <scheme val="minor"/>
      </rPr>
      <t>-3</t>
    </r>
    <r>
      <rPr>
        <sz val="11"/>
        <rFont val="Calibri"/>
        <family val="2"/>
        <scheme val="minor"/>
      </rPr>
      <t xml:space="preserve"> (in</t>
    </r>
    <r>
      <rPr>
        <vertAlign val="superscript"/>
        <sz val="11"/>
        <rFont val="Calibri"/>
        <family val="2"/>
        <scheme val="minor"/>
      </rPr>
      <t>4</t>
    </r>
    <r>
      <rPr>
        <sz val="11"/>
        <rFont val="Calibri"/>
        <family val="2"/>
        <scheme val="minor"/>
      </rPr>
      <t>/in) =</t>
    </r>
  </si>
  <si>
    <r>
      <t>δ = Soil density (k/ft</t>
    </r>
    <r>
      <rPr>
        <vertAlign val="superscript"/>
        <sz val="11"/>
        <rFont val="Calibri"/>
        <family val="2"/>
      </rPr>
      <t>3</t>
    </r>
    <r>
      <rPr>
        <sz val="11"/>
        <rFont val="Calibri"/>
        <family val="2"/>
      </rPr>
      <t>) =</t>
    </r>
  </si>
  <si>
    <t>(do not use this spreadsheet to load rate Structural Plate Box Culverts)</t>
  </si>
  <si>
    <r>
      <t xml:space="preserve">Based on </t>
    </r>
    <r>
      <rPr>
        <b/>
        <sz val="11"/>
        <rFont val="Calibri"/>
        <family val="2"/>
        <scheme val="minor"/>
      </rPr>
      <t>AASHTO LRFD</t>
    </r>
    <r>
      <rPr>
        <sz val="11"/>
        <rFont val="Calibri"/>
        <family val="2"/>
        <scheme val="minor"/>
      </rPr>
      <t xml:space="preserve"> Bridge Design Specifications, Section 3, 4 &amp; 12 &amp; </t>
    </r>
    <r>
      <rPr>
        <b/>
        <sz val="11"/>
        <rFont val="Calibri"/>
        <family val="2"/>
        <scheme val="minor"/>
      </rPr>
      <t>NCSPA</t>
    </r>
    <r>
      <rPr>
        <sz val="11"/>
        <rFont val="Calibri"/>
        <family val="2"/>
        <scheme val="minor"/>
      </rPr>
      <t xml:space="preserve"> Design Data Sheet No. 19 &amp; </t>
    </r>
    <r>
      <rPr>
        <b/>
        <sz val="11"/>
        <rFont val="Calibri"/>
        <family val="2"/>
        <scheme val="minor"/>
      </rPr>
      <t>ODOT</t>
    </r>
    <r>
      <rPr>
        <sz val="11"/>
        <rFont val="Calibri"/>
        <family val="2"/>
        <scheme val="minor"/>
      </rPr>
      <t xml:space="preserve"> </t>
    </r>
    <r>
      <rPr>
        <b/>
        <sz val="11"/>
        <rFont val="Calibri"/>
        <family val="2"/>
        <scheme val="minor"/>
      </rPr>
      <t>Bridge Design Manual</t>
    </r>
    <r>
      <rPr>
        <sz val="11"/>
        <rFont val="Calibri"/>
        <family val="2"/>
        <scheme val="minor"/>
      </rPr>
      <t xml:space="preserve"> 2004 (effective 10-15-2010), Section 900</t>
    </r>
  </si>
  <si>
    <t xml:space="preserve">CORRUGATED METAL STRUCTURE (CIRCULAR &amp; PIPE ARCH) &amp; ARCHES </t>
  </si>
  <si>
    <r>
      <t xml:space="preserve">       </t>
    </r>
    <r>
      <rPr>
        <b/>
        <sz val="10"/>
        <rFont val="Calibri"/>
        <family val="2"/>
      </rPr>
      <t>a.</t>
    </r>
    <r>
      <rPr>
        <sz val="10"/>
        <rFont val="Calibri"/>
        <family val="2"/>
      </rPr>
      <t xml:space="preserve"> use 2 x the top radius (2 R</t>
    </r>
    <r>
      <rPr>
        <vertAlign val="subscript"/>
        <sz val="10"/>
        <rFont val="Calibri"/>
        <family val="2"/>
      </rPr>
      <t>t</t>
    </r>
    <r>
      <rPr>
        <sz val="10"/>
        <rFont val="Calibri"/>
        <family val="2"/>
      </rPr>
      <t>) in lieu of span for calculations.</t>
    </r>
  </si>
  <si>
    <r>
      <t>φ</t>
    </r>
    <r>
      <rPr>
        <vertAlign val="subscript"/>
        <sz val="10"/>
        <rFont val="Calibri"/>
        <family val="2"/>
        <scheme val="minor"/>
      </rPr>
      <t>E</t>
    </r>
    <r>
      <rPr>
        <sz val="10"/>
        <rFont val="Calibri"/>
        <family val="2"/>
        <scheme val="minor"/>
      </rPr>
      <t xml:space="preserve"> = Factor for Distribution of Live Load with Depth of Fill based on Backfill Type (per AASHTO LRFD 3.6.1.2.6) </t>
    </r>
  </si>
  <si>
    <r>
      <rPr>
        <b/>
        <sz val="10"/>
        <color rgb="FFFF0000"/>
        <rFont val="Calibri"/>
        <family val="2"/>
        <scheme val="minor"/>
      </rPr>
      <t>*</t>
    </r>
    <r>
      <rPr>
        <sz val="10"/>
        <color rgb="FFFF0000"/>
        <rFont val="Calibri"/>
        <family val="2"/>
        <scheme val="minor"/>
      </rPr>
      <t xml:space="preserve"> </t>
    </r>
    <r>
      <rPr>
        <sz val="10"/>
        <rFont val="Calibri"/>
        <family val="2"/>
        <scheme val="minor"/>
      </rPr>
      <t xml:space="preserve">reduction factor </t>
    </r>
    <r>
      <rPr>
        <b/>
        <sz val="10"/>
        <rFont val="Calibri"/>
        <family val="2"/>
        <scheme val="minor"/>
      </rPr>
      <t>f</t>
    </r>
    <r>
      <rPr>
        <b/>
        <sz val="10"/>
        <color rgb="FFFF0000"/>
        <rFont val="Calibri"/>
        <family val="2"/>
        <scheme val="minor"/>
      </rPr>
      <t xml:space="preserve"> </t>
    </r>
    <r>
      <rPr>
        <sz val="10"/>
        <rFont val="Calibri"/>
        <family val="2"/>
        <scheme val="minor"/>
      </rPr>
      <t>is based on NCSPA Design Data Sheet No 19, II Structural Evaluation A.2.b &amp; Appendix B.1, Figure B.1.1 for Unsymmetrical structures or structures deflected over 5% only.</t>
    </r>
  </si>
  <si>
    <r>
      <t>Calculate the f</t>
    </r>
    <r>
      <rPr>
        <b/>
        <vertAlign val="subscript"/>
        <sz val="11"/>
        <rFont val="Calibri"/>
        <family val="2"/>
        <scheme val="minor"/>
      </rPr>
      <t>cr</t>
    </r>
    <r>
      <rPr>
        <b/>
        <sz val="11"/>
        <rFont val="Calibri"/>
        <family val="2"/>
        <scheme val="minor"/>
      </rPr>
      <t xml:space="preserve"> (critical buckling stress) :</t>
    </r>
  </si>
  <si>
    <r>
      <t>f</t>
    </r>
    <r>
      <rPr>
        <b/>
        <vertAlign val="subscript"/>
        <sz val="12"/>
        <rFont val="Calibri"/>
        <family val="2"/>
        <scheme val="minor"/>
      </rPr>
      <t>cr</t>
    </r>
    <r>
      <rPr>
        <b/>
        <sz val="12"/>
        <rFont val="Calibri"/>
        <family val="2"/>
        <scheme val="minor"/>
      </rPr>
      <t xml:space="preserve"> </t>
    </r>
    <r>
      <rPr>
        <sz val="10"/>
        <rFont val="Calibri"/>
        <family val="2"/>
        <scheme val="minor"/>
      </rPr>
      <t>=</t>
    </r>
  </si>
  <si>
    <r>
      <t>Calculate the T</t>
    </r>
    <r>
      <rPr>
        <b/>
        <vertAlign val="subscript"/>
        <sz val="11"/>
        <rFont val="Calibri"/>
        <family val="2"/>
        <scheme val="minor"/>
      </rPr>
      <t>cap</t>
    </r>
    <r>
      <rPr>
        <b/>
        <sz val="11"/>
        <rFont val="Calibri"/>
        <family val="2"/>
        <scheme val="minor"/>
      </rPr>
      <t xml:space="preserve"> (thrust capacity of the wall) :</t>
    </r>
  </si>
  <si>
    <r>
      <rPr>
        <b/>
        <sz val="12"/>
        <rFont val="Calibri"/>
        <family val="2"/>
        <scheme val="minor"/>
      </rPr>
      <t>T</t>
    </r>
    <r>
      <rPr>
        <b/>
        <vertAlign val="subscript"/>
        <sz val="12"/>
        <rFont val="Calibri"/>
        <family val="2"/>
        <scheme val="minor"/>
      </rPr>
      <t>cap</t>
    </r>
    <r>
      <rPr>
        <sz val="12"/>
        <rFont val="Calibri"/>
        <family val="2"/>
        <scheme val="minor"/>
      </rPr>
      <t xml:space="preserve"> = </t>
    </r>
  </si>
  <si>
    <r>
      <t>Calculate the T</t>
    </r>
    <r>
      <rPr>
        <b/>
        <vertAlign val="subscript"/>
        <sz val="11"/>
        <rFont val="Calibri"/>
        <family val="2"/>
        <scheme val="minor"/>
      </rPr>
      <t>E</t>
    </r>
    <r>
      <rPr>
        <b/>
        <sz val="11"/>
        <rFont val="Calibri"/>
        <family val="2"/>
        <scheme val="minor"/>
      </rPr>
      <t xml:space="preserve"> (pipe wall thrust due to earth cover) :</t>
    </r>
  </si>
  <si>
    <r>
      <rPr>
        <b/>
        <sz val="12"/>
        <rFont val="Calibri"/>
        <family val="2"/>
        <scheme val="minor"/>
      </rPr>
      <t>T</t>
    </r>
    <r>
      <rPr>
        <b/>
        <vertAlign val="subscript"/>
        <sz val="12"/>
        <rFont val="Calibri"/>
        <family val="2"/>
        <scheme val="minor"/>
      </rPr>
      <t>E</t>
    </r>
    <r>
      <rPr>
        <sz val="12"/>
        <rFont val="Calibri"/>
        <family val="2"/>
        <scheme val="minor"/>
      </rPr>
      <t xml:space="preserve"> = </t>
    </r>
  </si>
  <si>
    <r>
      <rPr>
        <b/>
        <sz val="12"/>
        <rFont val="Calibri"/>
        <family val="2"/>
        <scheme val="minor"/>
      </rPr>
      <t>T</t>
    </r>
    <r>
      <rPr>
        <b/>
        <vertAlign val="subscript"/>
        <sz val="12"/>
        <rFont val="Calibri"/>
        <family val="2"/>
        <scheme val="minor"/>
      </rPr>
      <t>(L+IM)</t>
    </r>
    <r>
      <rPr>
        <b/>
        <vertAlign val="subscript"/>
        <sz val="10"/>
        <rFont val="Calibri"/>
        <family val="2"/>
        <scheme val="minor"/>
      </rPr>
      <t xml:space="preserve"> </t>
    </r>
    <r>
      <rPr>
        <sz val="8"/>
        <rFont val="Calibri"/>
        <family val="2"/>
        <scheme val="minor"/>
      </rPr>
      <t>(k/ft)</t>
    </r>
    <r>
      <rPr>
        <sz val="9"/>
        <rFont val="Calibri"/>
        <family val="2"/>
        <scheme val="minor"/>
      </rPr>
      <t xml:space="preserve"> </t>
    </r>
    <r>
      <rPr>
        <b/>
        <sz val="9"/>
        <rFont val="Calibri"/>
        <family val="2"/>
        <scheme val="minor"/>
      </rPr>
      <t>=</t>
    </r>
  </si>
  <si>
    <r>
      <t>1.15 used here for select granular backfill, change the factor φ</t>
    </r>
    <r>
      <rPr>
        <vertAlign val="subscript"/>
        <sz val="11"/>
        <rFont val="Calibri"/>
        <family val="2"/>
        <scheme val="minor"/>
      </rPr>
      <t>E</t>
    </r>
    <r>
      <rPr>
        <sz val="11"/>
        <rFont val="Calibri"/>
        <family val="2"/>
        <scheme val="minor"/>
      </rPr>
      <t xml:space="preserve"> to 1.0 for all other cases.</t>
    </r>
  </si>
  <si>
    <r>
      <rPr>
        <b/>
        <sz val="11"/>
        <rFont val="Symbol"/>
        <family val="1"/>
        <charset val="2"/>
      </rPr>
      <t>g</t>
    </r>
    <r>
      <rPr>
        <b/>
        <vertAlign val="subscript"/>
        <sz val="11"/>
        <rFont val="Calibri"/>
        <family val="2"/>
        <scheme val="minor"/>
      </rPr>
      <t xml:space="preserve">LL  </t>
    </r>
    <r>
      <rPr>
        <vertAlign val="subscript"/>
        <sz val="11"/>
        <rFont val="Calibri"/>
        <family val="2"/>
        <scheme val="minor"/>
      </rPr>
      <t xml:space="preserve"> (HL-93 Loading - Inventory)</t>
    </r>
    <r>
      <rPr>
        <b/>
        <vertAlign val="subscript"/>
        <sz val="11"/>
        <rFont val="Calibri"/>
        <family val="2"/>
        <scheme val="minor"/>
      </rPr>
      <t xml:space="preserve">  </t>
    </r>
    <r>
      <rPr>
        <sz val="11"/>
        <rFont val="Calibri"/>
        <family val="2"/>
        <scheme val="minor"/>
      </rPr>
      <t>=</t>
    </r>
  </si>
  <si>
    <r>
      <rPr>
        <b/>
        <sz val="11"/>
        <rFont val="Symbol"/>
        <family val="1"/>
        <charset val="2"/>
      </rPr>
      <t>g</t>
    </r>
    <r>
      <rPr>
        <b/>
        <vertAlign val="subscript"/>
        <sz val="11"/>
        <rFont val="Calibri"/>
        <family val="2"/>
        <scheme val="minor"/>
      </rPr>
      <t xml:space="preserve">LL   </t>
    </r>
    <r>
      <rPr>
        <vertAlign val="subscript"/>
        <sz val="11"/>
        <rFont val="Calibri"/>
        <family val="2"/>
        <scheme val="minor"/>
      </rPr>
      <t xml:space="preserve">(HL-93 Loading - Operating)  </t>
    </r>
    <r>
      <rPr>
        <sz val="11"/>
        <rFont val="Calibri"/>
        <family val="2"/>
        <scheme val="minor"/>
      </rPr>
      <t>=</t>
    </r>
  </si>
  <si>
    <r>
      <t xml:space="preserve">Dead Load </t>
    </r>
    <r>
      <rPr>
        <b/>
        <sz val="9"/>
        <rFont val="Symbol"/>
        <family val="1"/>
        <charset val="2"/>
      </rPr>
      <t>g</t>
    </r>
    <r>
      <rPr>
        <b/>
        <vertAlign val="subscript"/>
        <sz val="9"/>
        <rFont val="Calibri"/>
        <family val="2"/>
        <scheme val="minor"/>
      </rPr>
      <t>DC</t>
    </r>
  </si>
  <si>
    <r>
      <t xml:space="preserve">Inventory </t>
    </r>
    <r>
      <rPr>
        <b/>
        <sz val="9"/>
        <rFont val="Symbol"/>
        <family val="1"/>
        <charset val="2"/>
      </rPr>
      <t>g</t>
    </r>
    <r>
      <rPr>
        <b/>
        <vertAlign val="subscript"/>
        <sz val="9"/>
        <rFont val="Calibri"/>
        <family val="2"/>
        <scheme val="minor"/>
      </rPr>
      <t>LL</t>
    </r>
  </si>
  <si>
    <r>
      <t xml:space="preserve">Operating </t>
    </r>
    <r>
      <rPr>
        <b/>
        <sz val="9"/>
        <rFont val="Symbol"/>
        <family val="1"/>
        <charset val="2"/>
      </rPr>
      <t>g</t>
    </r>
    <r>
      <rPr>
        <b/>
        <vertAlign val="subscript"/>
        <sz val="9"/>
        <rFont val="Calibri"/>
        <family val="2"/>
        <scheme val="minor"/>
      </rPr>
      <t>LL</t>
    </r>
  </si>
  <si>
    <r>
      <rPr>
        <b/>
        <sz val="11"/>
        <rFont val="Calibri"/>
        <family val="2"/>
        <scheme val="minor"/>
      </rPr>
      <t>Structure Type</t>
    </r>
    <r>
      <rPr>
        <sz val="11"/>
        <rFont val="Calibri"/>
        <family val="2"/>
        <scheme val="minor"/>
      </rPr>
      <t xml:space="preserve"> (to determine Minimum Cover):</t>
    </r>
  </si>
  <si>
    <r>
      <rPr>
        <b/>
        <sz val="11"/>
        <rFont val="Calibri"/>
        <family val="2"/>
        <scheme val="minor"/>
      </rPr>
      <t>Seam Type</t>
    </r>
    <r>
      <rPr>
        <sz val="11"/>
        <rFont val="Calibri"/>
        <family val="2"/>
        <scheme val="minor"/>
      </rPr>
      <t xml:space="preserve"> (to determine Seam Strength):</t>
    </r>
  </si>
  <si>
    <r>
      <t>Structure Category</t>
    </r>
    <r>
      <rPr>
        <sz val="10"/>
        <rFont val="Calibri"/>
        <family val="2"/>
        <scheme val="minor"/>
      </rPr>
      <t xml:space="preserve"> </t>
    </r>
    <r>
      <rPr>
        <sz val="8"/>
        <rFont val="Calibri"/>
        <family val="2"/>
        <scheme val="minor"/>
      </rPr>
      <t>(based on NCSPA Design Data Sheet No. 19)</t>
    </r>
  </si>
  <si>
    <r>
      <rPr>
        <b/>
        <sz val="10"/>
        <rFont val="Calibri"/>
        <family val="2"/>
      </rPr>
      <t xml:space="preserve">   1.</t>
    </r>
    <r>
      <rPr>
        <sz val="10"/>
        <rFont val="Calibri"/>
        <family val="2"/>
      </rPr>
      <t xml:space="preserve">  For</t>
    </r>
    <r>
      <rPr>
        <b/>
        <sz val="10"/>
        <rFont val="Calibri"/>
        <family val="2"/>
      </rPr>
      <t xml:space="preserve"> typical structures</t>
    </r>
    <r>
      <rPr>
        <sz val="10"/>
        <rFont val="Calibri"/>
        <family val="2"/>
      </rPr>
      <t>, use the actual field measured span for calculations.</t>
    </r>
  </si>
  <si>
    <r>
      <t xml:space="preserve">   </t>
    </r>
    <r>
      <rPr>
        <b/>
        <sz val="10"/>
        <rFont val="Calibri"/>
        <family val="2"/>
      </rPr>
      <t>2.</t>
    </r>
    <r>
      <rPr>
        <sz val="10"/>
        <rFont val="Calibri"/>
        <family val="2"/>
      </rPr>
      <t xml:space="preserve">  For </t>
    </r>
    <r>
      <rPr>
        <b/>
        <sz val="10"/>
        <rFont val="Calibri"/>
        <family val="2"/>
      </rPr>
      <t>unsymmetrical structures or those deflected over 5%</t>
    </r>
    <r>
      <rPr>
        <sz val="10"/>
        <rFont val="Calibri"/>
        <family val="2"/>
      </rPr>
      <t>:</t>
    </r>
  </si>
  <si>
    <r>
      <t>input the load factors based on the "</t>
    </r>
    <r>
      <rPr>
        <b/>
        <sz val="11"/>
        <rFont val="Calibri"/>
        <family val="2"/>
        <scheme val="minor"/>
      </rPr>
      <t>LRFR Load Factors</t>
    </r>
    <r>
      <rPr>
        <sz val="11"/>
        <rFont val="Calibri"/>
        <family val="2"/>
        <scheme val="minor"/>
      </rPr>
      <t>" table on the right</t>
    </r>
  </si>
  <si>
    <r>
      <t>input these values based on metal type, corrugation, gage number or pipe wall thickness, see tables in worksheet "</t>
    </r>
    <r>
      <rPr>
        <b/>
        <sz val="11"/>
        <rFont val="Calibri"/>
        <family val="2"/>
        <scheme val="minor"/>
      </rPr>
      <t>section property tables</t>
    </r>
    <r>
      <rPr>
        <sz val="11"/>
        <rFont val="Calibri"/>
        <family val="2"/>
        <scheme val="minor"/>
      </rPr>
      <t xml:space="preserve">". </t>
    </r>
  </si>
  <si>
    <r>
      <t>input the seam strength value based on metal type, corrugation, gage number or pipe wall thickness, see tables in worksheet "</t>
    </r>
    <r>
      <rPr>
        <b/>
        <sz val="11"/>
        <rFont val="Calibri"/>
        <family val="2"/>
        <scheme val="minor"/>
      </rPr>
      <t>seam strength tables</t>
    </r>
    <r>
      <rPr>
        <sz val="11"/>
        <rFont val="Calibri"/>
        <family val="2"/>
        <scheme val="minor"/>
      </rPr>
      <t>"</t>
    </r>
  </si>
  <si>
    <r>
      <t>r</t>
    </r>
    <r>
      <rPr>
        <sz val="11"/>
        <rFont val="Calibri"/>
        <family val="2"/>
        <scheme val="minor"/>
      </rPr>
      <t xml:space="preserve"> (in) =</t>
    </r>
  </si>
  <si>
    <t>Therefore,</t>
  </si>
  <si>
    <r>
      <t>For this structure: Depth of Fill, D</t>
    </r>
    <r>
      <rPr>
        <vertAlign val="subscript"/>
        <sz val="10"/>
        <rFont val="Calibri"/>
        <family val="2"/>
        <scheme val="minor"/>
      </rPr>
      <t>E</t>
    </r>
    <r>
      <rPr>
        <sz val="10"/>
        <rFont val="Calibri"/>
        <family val="2"/>
        <scheme val="minor"/>
      </rPr>
      <t xml:space="preserve"> = </t>
    </r>
    <r>
      <rPr>
        <b/>
        <sz val="10"/>
        <rFont val="Calibri"/>
        <family val="2"/>
        <scheme val="minor"/>
      </rPr>
      <t>H</t>
    </r>
    <r>
      <rPr>
        <sz val="10"/>
        <rFont val="Calibri"/>
        <family val="2"/>
        <scheme val="minor"/>
      </rPr>
      <t>=</t>
    </r>
  </si>
  <si>
    <r>
      <rPr>
        <b/>
        <sz val="10"/>
        <rFont val="Symbol"/>
        <family val="1"/>
        <charset val="2"/>
      </rPr>
      <t>g</t>
    </r>
    <r>
      <rPr>
        <b/>
        <vertAlign val="subscript"/>
        <sz val="10"/>
        <rFont val="Calibri"/>
        <family val="2"/>
        <scheme val="minor"/>
      </rPr>
      <t xml:space="preserve">LL </t>
    </r>
  </si>
  <si>
    <r>
      <t>Determine Actual Top Radius "R</t>
    </r>
    <r>
      <rPr>
        <vertAlign val="subscript"/>
        <sz val="11"/>
        <rFont val="Calibri"/>
        <family val="2"/>
        <scheme val="minor"/>
      </rPr>
      <t>t</t>
    </r>
    <r>
      <rPr>
        <sz val="11"/>
        <rFont val="Calibri"/>
        <family val="2"/>
        <scheme val="minor"/>
      </rPr>
      <t xml:space="preserve">" (ft) =                                  </t>
    </r>
    <r>
      <rPr>
        <sz val="9"/>
        <rFont val="Calibri"/>
        <family val="2"/>
        <scheme val="minor"/>
      </rPr>
      <t>(can be determined by field measurements or hand calculations)</t>
    </r>
  </si>
  <si>
    <t xml:space="preserve">LRFR of In-Service, Corrugated Metal Pipe Structures                                     </t>
  </si>
  <si>
    <r>
      <rPr>
        <sz val="10"/>
        <rFont val="Calibri"/>
        <family val="2"/>
      </rPr>
      <t>φ</t>
    </r>
    <r>
      <rPr>
        <vertAlign val="subscript"/>
        <sz val="10"/>
        <rFont val="Calibri"/>
        <family val="2"/>
      </rPr>
      <t>loss</t>
    </r>
    <r>
      <rPr>
        <sz val="10"/>
        <rFont val="Calibri"/>
        <family val="2"/>
      </rPr>
      <t xml:space="preserve"> = </t>
    </r>
    <r>
      <rPr>
        <sz val="10"/>
        <rFont val="Calibri"/>
        <family val="2"/>
        <scheme val="minor"/>
      </rPr>
      <t xml:space="preserve">Section Properties reduction factor on the basis of metal loss from the materials field evaluation =    </t>
    </r>
  </si>
  <si>
    <t>CW</t>
  </si>
  <si>
    <r>
      <t xml:space="preserve">       </t>
    </r>
    <r>
      <rPr>
        <b/>
        <sz val="10"/>
        <rFont val="Calibri"/>
        <family val="2"/>
      </rPr>
      <t>b.</t>
    </r>
    <r>
      <rPr>
        <sz val="10"/>
        <rFont val="Calibri"/>
        <family val="2"/>
      </rPr>
      <t xml:space="preserve"> base critical buckling stress calculations on the theoretical design span, reducing the resulting allowable buckling stress by the appropriate multiplier to account for deflection " f " (NCSPA Design Data Sheet No. 19, Figure B.1.1).</t>
    </r>
  </si>
  <si>
    <r>
      <t xml:space="preserve">   </t>
    </r>
    <r>
      <rPr>
        <b/>
        <sz val="10"/>
        <rFont val="Calibri"/>
        <family val="2"/>
      </rPr>
      <t>3.</t>
    </r>
    <r>
      <rPr>
        <sz val="10"/>
        <rFont val="Calibri"/>
        <family val="2"/>
      </rPr>
      <t xml:space="preserve">  For all</t>
    </r>
    <r>
      <rPr>
        <b/>
        <sz val="10"/>
        <rFont val="Calibri"/>
        <family val="2"/>
      </rPr>
      <t xml:space="preserve"> long span structures </t>
    </r>
    <r>
      <rPr>
        <sz val="10"/>
        <rFont val="Calibri"/>
        <family val="2"/>
      </rPr>
      <t>(horizontal ellipse, low and high profile arches, inverted pear shapes and pear arches), as well as other horizontal ellipses, use 2 x actual top radius (2Rt) in all cases.</t>
    </r>
  </si>
  <si>
    <t>ODOT</t>
  </si>
  <si>
    <r>
      <rPr>
        <b/>
        <sz val="11"/>
        <rFont val="Symbol"/>
        <family val="1"/>
        <charset val="2"/>
      </rPr>
      <t>g</t>
    </r>
    <r>
      <rPr>
        <b/>
        <vertAlign val="subscript"/>
        <sz val="11"/>
        <rFont val="Calibri"/>
        <family val="2"/>
        <scheme val="minor"/>
      </rPr>
      <t>EV</t>
    </r>
    <r>
      <rPr>
        <vertAlign val="subscript"/>
        <sz val="11"/>
        <rFont val="Calibri"/>
        <family val="2"/>
        <scheme val="minor"/>
      </rPr>
      <t xml:space="preserve"> (Vertical Earth Pressure for CMPs)</t>
    </r>
    <r>
      <rPr>
        <b/>
        <vertAlign val="subscript"/>
        <sz val="11"/>
        <rFont val="Calibri"/>
        <family val="2"/>
        <scheme val="minor"/>
      </rPr>
      <t xml:space="preserve"> </t>
    </r>
    <r>
      <rPr>
        <b/>
        <sz val="11"/>
        <rFont val="Calibri"/>
        <family val="2"/>
        <scheme val="minor"/>
      </rPr>
      <t xml:space="preserve"> </t>
    </r>
    <r>
      <rPr>
        <sz val="11"/>
        <rFont val="Calibri"/>
        <family val="2"/>
        <scheme val="minor"/>
      </rPr>
      <t>=</t>
    </r>
  </si>
  <si>
    <t>Vertical Earth Pressure EV for CMPs</t>
  </si>
  <si>
    <r>
      <rPr>
        <b/>
        <sz val="10"/>
        <rFont val="Symbol"/>
        <family val="1"/>
        <charset val="2"/>
      </rPr>
      <t>g</t>
    </r>
    <r>
      <rPr>
        <b/>
        <vertAlign val="subscript"/>
        <sz val="10"/>
        <rFont val="Calibri"/>
        <family val="2"/>
        <scheme val="minor"/>
      </rPr>
      <t xml:space="preserve">EV </t>
    </r>
  </si>
  <si>
    <r>
      <t xml:space="preserve">t </t>
    </r>
    <r>
      <rPr>
        <vertAlign val="subscript"/>
        <sz val="10"/>
        <rFont val="Calibri"/>
        <family val="2"/>
        <scheme val="minor"/>
      </rPr>
      <t>(min)</t>
    </r>
    <r>
      <rPr>
        <sz val="10"/>
        <color rgb="FFFF0000"/>
        <rFont val="Calibri"/>
        <family val="2"/>
        <scheme val="minor"/>
      </rPr>
      <t>**</t>
    </r>
    <r>
      <rPr>
        <sz val="10"/>
        <rFont val="Calibri"/>
        <family val="2"/>
        <scheme val="minor"/>
      </rPr>
      <t xml:space="preserve"> (in) =</t>
    </r>
  </si>
  <si>
    <r>
      <rPr>
        <sz val="10"/>
        <color rgb="FFFF0000"/>
        <rFont val="Calibri"/>
        <family val="2"/>
        <scheme val="minor"/>
      </rPr>
      <t>**</t>
    </r>
    <r>
      <rPr>
        <sz val="10"/>
        <rFont val="Calibri"/>
        <family val="2"/>
        <scheme val="minor"/>
      </rPr>
      <t xml:space="preserve"> Required Minimum Top Arc Thickness if Long Span Structural Plate Structures Selected</t>
    </r>
  </si>
  <si>
    <r>
      <rPr>
        <sz val="10"/>
        <color rgb="FFFF0000"/>
        <rFont val="Calibri"/>
        <family val="2"/>
        <scheme val="minor"/>
      </rPr>
      <t>*</t>
    </r>
    <r>
      <rPr>
        <sz val="10"/>
        <rFont val="Calibri"/>
        <family val="2"/>
        <scheme val="minor"/>
      </rPr>
      <t xml:space="preserve"> Maximum Plate Radius allowed if Long Span Structural Plate Structures Selected</t>
    </r>
  </si>
  <si>
    <r>
      <rPr>
        <b/>
        <sz val="10"/>
        <rFont val="Calibri"/>
        <family val="2"/>
        <scheme val="minor"/>
      </rPr>
      <t>R</t>
    </r>
    <r>
      <rPr>
        <vertAlign val="subscript"/>
        <sz val="10"/>
        <rFont val="Calibri"/>
        <family val="2"/>
        <scheme val="minor"/>
      </rPr>
      <t>t (max)</t>
    </r>
    <r>
      <rPr>
        <sz val="10"/>
        <rFont val="Calibri"/>
        <family val="2"/>
        <scheme val="minor"/>
      </rPr>
      <t xml:space="preserve"> </t>
    </r>
    <r>
      <rPr>
        <sz val="10"/>
        <color rgb="FFFF0000"/>
        <rFont val="Calibri"/>
        <family val="2"/>
        <scheme val="minor"/>
      </rPr>
      <t>*</t>
    </r>
    <r>
      <rPr>
        <sz val="10"/>
        <rFont val="Calibri"/>
        <family val="2"/>
        <scheme val="minor"/>
      </rPr>
      <t xml:space="preserve"> (ft) =</t>
    </r>
  </si>
  <si>
    <r>
      <t xml:space="preserve">Then, </t>
    </r>
    <r>
      <rPr>
        <b/>
        <sz val="10"/>
        <rFont val="Calibri"/>
        <family val="2"/>
        <scheme val="minor"/>
      </rPr>
      <t>R</t>
    </r>
    <r>
      <rPr>
        <b/>
        <vertAlign val="subscript"/>
        <sz val="10"/>
        <rFont val="Calibri"/>
        <family val="2"/>
        <scheme val="minor"/>
      </rPr>
      <t>t</t>
    </r>
    <r>
      <rPr>
        <sz val="10"/>
        <rFont val="Calibri"/>
        <family val="2"/>
        <scheme val="minor"/>
      </rPr>
      <t xml:space="preserve"> used in Load Rating Calculation (ft)=</t>
    </r>
  </si>
  <si>
    <r>
      <t xml:space="preserve">Then, </t>
    </r>
    <r>
      <rPr>
        <b/>
        <sz val="10"/>
        <rFont val="Calibri"/>
        <family val="2"/>
        <scheme val="minor"/>
      </rPr>
      <t>Span Length</t>
    </r>
    <r>
      <rPr>
        <sz val="10"/>
        <rFont val="Calibri"/>
        <family val="2"/>
        <scheme val="minor"/>
      </rPr>
      <t xml:space="preserve"> used in Load Rating Calculation (ft)=</t>
    </r>
  </si>
  <si>
    <r>
      <rPr>
        <sz val="11"/>
        <rFont val="Calibri"/>
        <family val="2"/>
      </rPr>
      <t>ƞ</t>
    </r>
    <r>
      <rPr>
        <vertAlign val="subscript"/>
        <sz val="11"/>
        <rFont val="Calibri"/>
        <family val="2"/>
      </rPr>
      <t>R</t>
    </r>
    <r>
      <rPr>
        <sz val="11"/>
        <rFont val="Calibri"/>
        <family val="2"/>
        <scheme val="minor"/>
      </rPr>
      <t xml:space="preserve"> </t>
    </r>
    <r>
      <rPr>
        <vertAlign val="subscript"/>
        <sz val="11"/>
        <rFont val="Calibri"/>
        <family val="2"/>
        <scheme val="minor"/>
      </rPr>
      <t>(for nonredundant members)</t>
    </r>
    <r>
      <rPr>
        <sz val="11"/>
        <rFont val="Calibri"/>
        <family val="2"/>
        <scheme val="minor"/>
      </rPr>
      <t xml:space="preserve"> =</t>
    </r>
  </si>
  <si>
    <r>
      <t>ƞ</t>
    </r>
    <r>
      <rPr>
        <b/>
        <vertAlign val="subscript"/>
        <sz val="10"/>
        <rFont val="Calibri"/>
        <family val="2"/>
        <scheme val="minor"/>
      </rPr>
      <t>R</t>
    </r>
  </si>
  <si>
    <t>MAD-323-0613</t>
  </si>
  <si>
    <r>
      <rPr>
        <sz val="10"/>
        <rFont val="Calibri"/>
        <family val="2"/>
        <scheme val="minor"/>
      </rPr>
      <t>φ</t>
    </r>
    <r>
      <rPr>
        <vertAlign val="subscript"/>
        <sz val="10"/>
        <rFont val="Calibri"/>
        <family val="2"/>
        <scheme val="minor"/>
      </rPr>
      <t>1</t>
    </r>
    <r>
      <rPr>
        <sz val="9"/>
        <rFont val="Calibri"/>
        <family val="2"/>
        <scheme val="minor"/>
      </rPr>
      <t xml:space="preserve"> = Resistance Factor for </t>
    </r>
    <r>
      <rPr>
        <b/>
        <sz val="10"/>
        <rFont val="Calibri"/>
        <family val="2"/>
      </rPr>
      <t>wall area and buckling</t>
    </r>
    <r>
      <rPr>
        <b/>
        <sz val="9"/>
        <rFont val="Calibri"/>
        <family val="2"/>
      </rPr>
      <t xml:space="preserve"> </t>
    </r>
    <r>
      <rPr>
        <sz val="9"/>
        <rFont val="Calibri"/>
        <family val="2"/>
      </rPr>
      <t>(Table 12.5.5-1)</t>
    </r>
  </si>
  <si>
    <r>
      <t>φ</t>
    </r>
    <r>
      <rPr>
        <vertAlign val="subscript"/>
        <sz val="10"/>
        <rFont val="Calibri"/>
        <family val="2"/>
        <scheme val="minor"/>
      </rPr>
      <t>2</t>
    </r>
    <r>
      <rPr>
        <sz val="10"/>
        <rFont val="Calibri"/>
        <family val="2"/>
        <scheme val="minor"/>
      </rPr>
      <t xml:space="preserve"> = Resistance Factor for </t>
    </r>
    <r>
      <rPr>
        <b/>
        <sz val="10"/>
        <rFont val="Calibri"/>
        <family val="2"/>
      </rPr>
      <t>seam strength</t>
    </r>
    <r>
      <rPr>
        <b/>
        <sz val="9"/>
        <rFont val="Calibri"/>
        <family val="2"/>
      </rPr>
      <t xml:space="preserve"> </t>
    </r>
    <r>
      <rPr>
        <sz val="9"/>
        <rFont val="Calibri"/>
        <family val="2"/>
      </rPr>
      <t>(Table 12.5.5-1)</t>
    </r>
  </si>
  <si>
    <t>HL-93 Tandem</t>
  </si>
  <si>
    <t>HL-93 Truck</t>
  </si>
  <si>
    <t>WJB</t>
  </si>
  <si>
    <r>
      <t>Axle 2 Load</t>
    </r>
    <r>
      <rPr>
        <sz val="9"/>
        <rFont val="Calibri"/>
        <family val="2"/>
        <scheme val="minor"/>
      </rPr>
      <t xml:space="preserve"> (kips)</t>
    </r>
  </si>
  <si>
    <r>
      <t>Axle 3 Load</t>
    </r>
    <r>
      <rPr>
        <sz val="9"/>
        <rFont val="Calibri"/>
        <family val="2"/>
        <scheme val="minor"/>
      </rPr>
      <t xml:space="preserve"> (kips)</t>
    </r>
  </si>
  <si>
    <r>
      <rPr>
        <b/>
        <sz val="10"/>
        <rFont val="Calibri"/>
        <family val="2"/>
        <scheme val="minor"/>
      </rPr>
      <t xml:space="preserve"> S</t>
    </r>
    <r>
      <rPr>
        <b/>
        <vertAlign val="subscript"/>
        <sz val="10"/>
        <rFont val="Calibri"/>
        <family val="2"/>
        <scheme val="minor"/>
      </rPr>
      <t>axle 1</t>
    </r>
    <r>
      <rPr>
        <b/>
        <sz val="8"/>
        <rFont val="Calibri"/>
        <family val="2"/>
        <scheme val="minor"/>
      </rPr>
      <t xml:space="preserve"> </t>
    </r>
    <r>
      <rPr>
        <sz val="8"/>
        <rFont val="Calibri"/>
        <family val="2"/>
        <scheme val="minor"/>
      </rPr>
      <t>(ft)</t>
    </r>
    <r>
      <rPr>
        <b/>
        <sz val="12"/>
        <color rgb="FFFF0000"/>
        <rFont val="Calibri"/>
        <family val="2"/>
        <scheme val="minor"/>
      </rPr>
      <t xml:space="preserve"> </t>
    </r>
    <r>
      <rPr>
        <sz val="10"/>
        <rFont val="Calibri"/>
        <family val="2"/>
        <scheme val="minor"/>
      </rPr>
      <t>=</t>
    </r>
  </si>
  <si>
    <r>
      <rPr>
        <b/>
        <sz val="10"/>
        <rFont val="Calibri"/>
        <family val="2"/>
        <scheme val="minor"/>
      </rPr>
      <t xml:space="preserve"> S</t>
    </r>
    <r>
      <rPr>
        <b/>
        <vertAlign val="subscript"/>
        <sz val="10"/>
        <rFont val="Calibri"/>
        <family val="2"/>
        <scheme val="minor"/>
      </rPr>
      <t>axle 2</t>
    </r>
    <r>
      <rPr>
        <b/>
        <sz val="8"/>
        <rFont val="Calibri"/>
        <family val="2"/>
        <scheme val="minor"/>
      </rPr>
      <t xml:space="preserve"> </t>
    </r>
    <r>
      <rPr>
        <sz val="8"/>
        <rFont val="Calibri"/>
        <family val="2"/>
        <scheme val="minor"/>
      </rPr>
      <t>(ft)</t>
    </r>
    <r>
      <rPr>
        <b/>
        <sz val="12"/>
        <color rgb="FFFF0000"/>
        <rFont val="Calibri"/>
        <family val="2"/>
        <scheme val="minor"/>
      </rPr>
      <t xml:space="preserve"> </t>
    </r>
    <r>
      <rPr>
        <sz val="10"/>
        <rFont val="Calibri"/>
        <family val="2"/>
        <scheme val="minor"/>
      </rPr>
      <t>=</t>
    </r>
  </si>
  <si>
    <r>
      <t xml:space="preserve"> P</t>
    </r>
    <r>
      <rPr>
        <b/>
        <vertAlign val="subscript"/>
        <sz val="9"/>
        <rFont val="Calibri"/>
        <family val="2"/>
        <scheme val="minor"/>
      </rPr>
      <t>D</t>
    </r>
    <r>
      <rPr>
        <b/>
        <sz val="9"/>
        <rFont val="Calibri"/>
        <family val="2"/>
        <scheme val="minor"/>
      </rPr>
      <t xml:space="preserve"> </t>
    </r>
    <r>
      <rPr>
        <sz val="9"/>
        <rFont val="Calibri"/>
        <family val="2"/>
        <scheme val="minor"/>
      </rPr>
      <t>(kips) =</t>
    </r>
  </si>
  <si>
    <r>
      <rPr>
        <b/>
        <sz val="10"/>
        <color rgb="FFFF0000"/>
        <rFont val="Calibri"/>
        <family val="2"/>
        <scheme val="minor"/>
      </rPr>
      <t xml:space="preserve">  </t>
    </r>
    <r>
      <rPr>
        <b/>
        <sz val="10"/>
        <rFont val="Calibri"/>
        <family val="2"/>
        <scheme val="minor"/>
      </rPr>
      <t>A</t>
    </r>
    <r>
      <rPr>
        <b/>
        <vertAlign val="subscript"/>
        <sz val="10"/>
        <rFont val="Calibri"/>
        <family val="2"/>
        <scheme val="minor"/>
      </rPr>
      <t>D</t>
    </r>
    <r>
      <rPr>
        <b/>
        <sz val="10"/>
        <rFont val="Calibri"/>
        <family val="2"/>
        <scheme val="minor"/>
      </rPr>
      <t xml:space="preserve"> </t>
    </r>
    <r>
      <rPr>
        <sz val="10"/>
        <rFont val="Calibri"/>
        <family val="2"/>
        <scheme val="minor"/>
      </rPr>
      <t xml:space="preserve">= Total Load Distributed Area </t>
    </r>
  </si>
  <si>
    <r>
      <t xml:space="preserve">  P</t>
    </r>
    <r>
      <rPr>
        <b/>
        <vertAlign val="subscript"/>
        <sz val="10"/>
        <rFont val="Calibri"/>
        <family val="2"/>
        <scheme val="minor"/>
      </rPr>
      <t>D</t>
    </r>
    <r>
      <rPr>
        <b/>
        <sz val="10"/>
        <rFont val="Calibri"/>
        <family val="2"/>
        <scheme val="minor"/>
      </rPr>
      <t xml:space="preserve"> </t>
    </r>
    <r>
      <rPr>
        <sz val="10"/>
        <rFont val="Calibri"/>
        <family val="2"/>
        <scheme val="minor"/>
      </rPr>
      <t>= Total Load being Distributed</t>
    </r>
  </si>
  <si>
    <r>
      <t>Heavy Axle Load</t>
    </r>
    <r>
      <rPr>
        <sz val="9"/>
        <rFont val="Calibri"/>
        <family val="2"/>
        <scheme val="minor"/>
      </rPr>
      <t xml:space="preserve"> (kips)</t>
    </r>
  </si>
  <si>
    <r>
      <t>Calculate the T</t>
    </r>
    <r>
      <rPr>
        <b/>
        <vertAlign val="subscript"/>
        <sz val="11"/>
        <rFont val="Calibri"/>
        <family val="2"/>
        <scheme val="minor"/>
      </rPr>
      <t>(L+I)</t>
    </r>
    <r>
      <rPr>
        <b/>
        <sz val="11"/>
        <rFont val="Calibri"/>
        <family val="2"/>
        <scheme val="minor"/>
      </rPr>
      <t xml:space="preserve"> (pipe wall thrust due to live load plus dynamic load allowance) :</t>
    </r>
  </si>
  <si>
    <r>
      <t xml:space="preserve"> ρ</t>
    </r>
    <r>
      <rPr>
        <vertAlign val="subscript"/>
        <sz val="10"/>
        <rFont val="Calibri"/>
        <family val="2"/>
        <scheme val="minor"/>
      </rPr>
      <t xml:space="preserve"> (L+IM)</t>
    </r>
    <r>
      <rPr>
        <sz val="10"/>
        <rFont val="Calibri"/>
        <family val="2"/>
        <scheme val="minor"/>
      </rPr>
      <t xml:space="preserve"> : pressure at crown due to live load plus dynamic load allowance</t>
    </r>
  </si>
  <si>
    <r>
      <rPr>
        <b/>
        <sz val="10"/>
        <rFont val="Calibri"/>
        <family val="2"/>
        <scheme val="minor"/>
      </rPr>
      <t xml:space="preserve">  ρ </t>
    </r>
    <r>
      <rPr>
        <b/>
        <vertAlign val="subscript"/>
        <sz val="10"/>
        <rFont val="Calibri"/>
        <family val="2"/>
        <scheme val="minor"/>
      </rPr>
      <t>(L+IM)</t>
    </r>
    <r>
      <rPr>
        <sz val="10"/>
        <rFont val="Calibri"/>
        <family val="2"/>
        <scheme val="minor"/>
      </rPr>
      <t xml:space="preserve"> = pressure at crown due to live load plus dynamic load allowance</t>
    </r>
  </si>
  <si>
    <r>
      <t xml:space="preserve"> A</t>
    </r>
    <r>
      <rPr>
        <b/>
        <vertAlign val="subscript"/>
        <sz val="9"/>
        <rFont val="Calibri"/>
        <family val="2"/>
        <scheme val="minor"/>
      </rPr>
      <t>D</t>
    </r>
    <r>
      <rPr>
        <b/>
        <sz val="9"/>
        <rFont val="Calibri"/>
        <family val="2"/>
        <scheme val="minor"/>
      </rPr>
      <t xml:space="preserve"> </t>
    </r>
    <r>
      <rPr>
        <sz val="9"/>
        <rFont val="Calibri"/>
        <family val="2"/>
        <scheme val="minor"/>
      </rPr>
      <t>= W</t>
    </r>
    <r>
      <rPr>
        <vertAlign val="subscript"/>
        <sz val="9"/>
        <rFont val="Calibri"/>
        <family val="2"/>
        <scheme val="minor"/>
      </rPr>
      <t>D(total)</t>
    </r>
    <r>
      <rPr>
        <sz val="9"/>
        <rFont val="Calibri"/>
        <family val="2"/>
        <scheme val="minor"/>
      </rPr>
      <t xml:space="preserve"> x L</t>
    </r>
    <r>
      <rPr>
        <vertAlign val="subscript"/>
        <sz val="9"/>
        <rFont val="Calibri"/>
        <family val="2"/>
        <scheme val="minor"/>
      </rPr>
      <t>D(total)</t>
    </r>
    <r>
      <rPr>
        <sz val="9"/>
        <rFont val="Calibri"/>
        <family val="2"/>
        <scheme val="minor"/>
      </rPr>
      <t xml:space="preserve"> =</t>
    </r>
  </si>
  <si>
    <r>
      <rPr>
        <b/>
        <sz val="10"/>
        <rFont val="Calibri"/>
        <family val="2"/>
        <scheme val="minor"/>
      </rPr>
      <t xml:space="preserve">  Axle 2 Load</t>
    </r>
    <r>
      <rPr>
        <sz val="10"/>
        <rFont val="Calibri"/>
        <family val="2"/>
        <scheme val="minor"/>
      </rPr>
      <t xml:space="preserve"> = 1</t>
    </r>
    <r>
      <rPr>
        <vertAlign val="superscript"/>
        <sz val="10"/>
        <rFont val="Calibri"/>
        <family val="2"/>
        <scheme val="minor"/>
      </rPr>
      <t>st</t>
    </r>
    <r>
      <rPr>
        <sz val="10"/>
        <rFont val="Calibri"/>
        <family val="2"/>
        <scheme val="minor"/>
      </rPr>
      <t xml:space="preserve"> adjacent axle load to the heavy axle, if the S</t>
    </r>
    <r>
      <rPr>
        <vertAlign val="subscript"/>
        <sz val="10"/>
        <rFont val="Calibri"/>
        <family val="2"/>
        <scheme val="minor"/>
      </rPr>
      <t>axle 1</t>
    </r>
    <r>
      <rPr>
        <sz val="10"/>
        <rFont val="Calibri"/>
        <family val="2"/>
        <scheme val="minor"/>
      </rPr>
      <t xml:space="preserve"> &gt; 4', input Axle 2 load = 0.  </t>
    </r>
  </si>
  <si>
    <r>
      <rPr>
        <b/>
        <sz val="10"/>
        <rFont val="Calibri"/>
        <family val="2"/>
        <scheme val="minor"/>
      </rPr>
      <t xml:space="preserve">  S</t>
    </r>
    <r>
      <rPr>
        <b/>
        <vertAlign val="subscript"/>
        <sz val="10"/>
        <rFont val="Calibri"/>
        <family val="2"/>
        <scheme val="minor"/>
      </rPr>
      <t>axle 1</t>
    </r>
    <r>
      <rPr>
        <b/>
        <sz val="12"/>
        <rFont val="Calibri"/>
        <family val="2"/>
        <scheme val="minor"/>
      </rPr>
      <t xml:space="preserve"> </t>
    </r>
    <r>
      <rPr>
        <sz val="12"/>
        <rFont val="Calibri"/>
        <family val="2"/>
        <scheme val="minor"/>
      </rPr>
      <t>=</t>
    </r>
    <r>
      <rPr>
        <b/>
        <sz val="12"/>
        <rFont val="Calibri"/>
        <family val="2"/>
        <scheme val="minor"/>
      </rPr>
      <t xml:space="preserve"> </t>
    </r>
    <r>
      <rPr>
        <sz val="10"/>
        <rFont val="Calibri"/>
        <family val="2"/>
        <scheme val="minor"/>
      </rPr>
      <t>distance from the heavy axle to the 1</t>
    </r>
    <r>
      <rPr>
        <vertAlign val="superscript"/>
        <sz val="10"/>
        <rFont val="Calibri"/>
        <family val="2"/>
        <scheme val="minor"/>
      </rPr>
      <t>st</t>
    </r>
    <r>
      <rPr>
        <sz val="10"/>
        <rFont val="Calibri"/>
        <family val="2"/>
        <scheme val="minor"/>
      </rPr>
      <t xml:space="preserve"> adjacent axle, if the spacing is &gt; 4', input S</t>
    </r>
    <r>
      <rPr>
        <vertAlign val="subscript"/>
        <sz val="10"/>
        <rFont val="Calibri"/>
        <family val="2"/>
        <scheme val="minor"/>
      </rPr>
      <t xml:space="preserve">axle1 </t>
    </r>
    <r>
      <rPr>
        <sz val="10"/>
        <rFont val="Calibri"/>
        <family val="2"/>
        <scheme val="minor"/>
      </rPr>
      <t xml:space="preserve">= 0.  </t>
    </r>
  </si>
  <si>
    <r>
      <rPr>
        <b/>
        <sz val="10"/>
        <rFont val="Calibri"/>
        <family val="2"/>
        <scheme val="minor"/>
      </rPr>
      <t xml:space="preserve">  Axle 3 Load</t>
    </r>
    <r>
      <rPr>
        <sz val="10"/>
        <rFont val="Calibri"/>
        <family val="2"/>
        <scheme val="minor"/>
      </rPr>
      <t xml:space="preserve"> = 2</t>
    </r>
    <r>
      <rPr>
        <vertAlign val="superscript"/>
        <sz val="10"/>
        <rFont val="Calibri"/>
        <family val="2"/>
        <scheme val="minor"/>
      </rPr>
      <t>nd</t>
    </r>
    <r>
      <rPr>
        <sz val="10"/>
        <rFont val="Calibri"/>
        <family val="2"/>
        <scheme val="minor"/>
      </rPr>
      <t xml:space="preserve"> adjacent axle load to the heavy axle, if the S</t>
    </r>
    <r>
      <rPr>
        <vertAlign val="subscript"/>
        <sz val="10"/>
        <rFont val="Calibri"/>
        <family val="2"/>
        <scheme val="minor"/>
      </rPr>
      <t>axle 2</t>
    </r>
    <r>
      <rPr>
        <sz val="10"/>
        <rFont val="Calibri"/>
        <family val="2"/>
        <scheme val="minor"/>
      </rPr>
      <t xml:space="preserve"> &gt; 4', input Axle 3 load = 0.  </t>
    </r>
  </si>
  <si>
    <r>
      <t xml:space="preserve">  </t>
    </r>
    <r>
      <rPr>
        <b/>
        <sz val="10"/>
        <rFont val="Calibri"/>
        <family val="2"/>
        <scheme val="minor"/>
      </rPr>
      <t>S</t>
    </r>
    <r>
      <rPr>
        <b/>
        <vertAlign val="subscript"/>
        <sz val="10"/>
        <rFont val="Calibri"/>
        <family val="2"/>
        <scheme val="minor"/>
      </rPr>
      <t>axle 2</t>
    </r>
    <r>
      <rPr>
        <b/>
        <sz val="12"/>
        <rFont val="Calibri"/>
        <family val="2"/>
        <scheme val="minor"/>
      </rPr>
      <t xml:space="preserve"> </t>
    </r>
    <r>
      <rPr>
        <sz val="10"/>
        <rFont val="Calibri"/>
        <family val="2"/>
        <scheme val="minor"/>
      </rPr>
      <t>= distance from the 1</t>
    </r>
    <r>
      <rPr>
        <vertAlign val="superscript"/>
        <sz val="10"/>
        <rFont val="Calibri"/>
        <family val="2"/>
        <scheme val="minor"/>
      </rPr>
      <t>st</t>
    </r>
    <r>
      <rPr>
        <sz val="10"/>
        <rFont val="Calibri"/>
        <family val="2"/>
        <scheme val="minor"/>
      </rPr>
      <t xml:space="preserve"> adjacent axle to the 2</t>
    </r>
    <r>
      <rPr>
        <vertAlign val="superscript"/>
        <sz val="10"/>
        <rFont val="Calibri"/>
        <family val="2"/>
        <scheme val="minor"/>
      </rPr>
      <t>nd</t>
    </r>
    <r>
      <rPr>
        <sz val="10"/>
        <rFont val="Calibri"/>
        <family val="2"/>
        <scheme val="minor"/>
      </rPr>
      <t xml:space="preserve"> adjacent axle, if the spacing is &gt; 4', input S</t>
    </r>
    <r>
      <rPr>
        <vertAlign val="subscript"/>
        <sz val="10"/>
        <rFont val="Calibri"/>
        <family val="2"/>
        <scheme val="minor"/>
      </rPr>
      <t>axle2</t>
    </r>
    <r>
      <rPr>
        <sz val="10"/>
        <rFont val="Calibri"/>
        <family val="2"/>
        <scheme val="minor"/>
      </rPr>
      <t xml:space="preserve"> = 0.  </t>
    </r>
  </si>
  <si>
    <r>
      <t>One lane loaded.  Longitudinal pressure overlaps are considered for two adjacent heavy axle loads when the S</t>
    </r>
    <r>
      <rPr>
        <b/>
        <vertAlign val="subscript"/>
        <sz val="11"/>
        <rFont val="Calibri"/>
        <family val="2"/>
        <scheme val="minor"/>
      </rPr>
      <t>axle</t>
    </r>
    <r>
      <rPr>
        <b/>
        <sz val="11"/>
        <rFont val="Calibri"/>
        <family val="2"/>
        <scheme val="minor"/>
      </rPr>
      <t xml:space="preserve"> is ≤ 4 feet. If the span length is long enough for more axles of loads overlapping at crown location, hand calculations have to be done to consider the additional loads and P</t>
    </r>
    <r>
      <rPr>
        <b/>
        <vertAlign val="subscript"/>
        <sz val="11"/>
        <rFont val="Calibri"/>
        <family val="2"/>
        <scheme val="minor"/>
      </rPr>
      <t>D</t>
    </r>
    <r>
      <rPr>
        <b/>
        <sz val="11"/>
        <rFont val="Calibri"/>
        <family val="2"/>
        <scheme val="minor"/>
      </rPr>
      <t xml:space="preserve"> &amp; A</t>
    </r>
    <r>
      <rPr>
        <b/>
        <vertAlign val="subscript"/>
        <sz val="11"/>
        <rFont val="Calibri"/>
        <family val="2"/>
        <scheme val="minor"/>
      </rPr>
      <t>D</t>
    </r>
    <r>
      <rPr>
        <b/>
        <sz val="11"/>
        <rFont val="Calibri"/>
        <family val="2"/>
        <scheme val="minor"/>
      </rPr>
      <t xml:space="preserve"> values have to be overwritten for those cases.</t>
    </r>
  </si>
  <si>
    <r>
      <rPr>
        <b/>
        <sz val="12"/>
        <rFont val="Calibri"/>
        <family val="2"/>
        <scheme val="minor"/>
      </rPr>
      <t>Note</t>
    </r>
    <r>
      <rPr>
        <sz val="10"/>
        <rFont val="Calibri"/>
        <family val="2"/>
        <scheme val="minor"/>
      </rPr>
      <t>: The minimum cover dimension is not to be confused with the fill height used for calculation purposes, which shall be from the top of the pipe to the top of the surface, regardless of the pipe type or pavement type.</t>
    </r>
  </si>
  <si>
    <t>AASHTO minimum cover, "h" (ft) =</t>
  </si>
  <si>
    <r>
      <rPr>
        <b/>
        <sz val="10"/>
        <color rgb="FFFF0000"/>
        <rFont val="Calibri"/>
        <family val="2"/>
        <scheme val="minor"/>
      </rPr>
      <t>*</t>
    </r>
    <r>
      <rPr>
        <sz val="11"/>
        <rFont val="Calibri"/>
        <family val="2"/>
        <scheme val="minor"/>
      </rPr>
      <t xml:space="preserve"> Depth of Fill "H" (ft) =</t>
    </r>
    <r>
      <rPr>
        <sz val="8"/>
        <rFont val="Calibri"/>
        <family val="2"/>
        <scheme val="minor"/>
      </rPr>
      <t xml:space="preserve">                                                                                      </t>
    </r>
    <r>
      <rPr>
        <sz val="10"/>
        <rFont val="Calibri"/>
        <family val="2"/>
        <scheme val="minor"/>
      </rPr>
      <t xml:space="preserve"> (fill depth used for dead load calculations)</t>
    </r>
  </si>
  <si>
    <r>
      <t>Depth of cover used to check AASHTO minimum cover requirment "H</t>
    </r>
    <r>
      <rPr>
        <vertAlign val="subscript"/>
        <sz val="10"/>
        <rFont val="Calibri"/>
        <family val="2"/>
        <scheme val="minor"/>
      </rPr>
      <t>min</t>
    </r>
    <r>
      <rPr>
        <sz val="10"/>
        <rFont val="Calibri"/>
        <family val="2"/>
        <scheme val="minor"/>
      </rPr>
      <t xml:space="preserve">" (ft) =    </t>
    </r>
  </si>
  <si>
    <r>
      <rPr>
        <b/>
        <sz val="12"/>
        <color rgb="FFFF0000"/>
        <rFont val="Calibri"/>
        <family val="2"/>
        <scheme val="minor"/>
      </rPr>
      <t>*</t>
    </r>
    <r>
      <rPr>
        <b/>
        <sz val="12"/>
        <rFont val="Calibri"/>
        <family val="2"/>
        <scheme val="minor"/>
      </rPr>
      <t xml:space="preserve"> AASHTO LRFD C 12.6.6.3: </t>
    </r>
    <r>
      <rPr>
        <b/>
        <u/>
        <sz val="12"/>
        <rFont val="Calibri"/>
        <family val="2"/>
        <scheme val="minor"/>
      </rPr>
      <t>Minimum Cover Orientation</t>
    </r>
  </si>
  <si>
    <r>
      <rPr>
        <b/>
        <sz val="10"/>
        <color rgb="FFFF0000"/>
        <rFont val="Calibri"/>
        <family val="2"/>
        <scheme val="minor"/>
      </rPr>
      <t>*</t>
    </r>
    <r>
      <rPr>
        <sz val="11"/>
        <rFont val="Calibri"/>
        <family val="2"/>
        <scheme val="minor"/>
      </rPr>
      <t xml:space="preserve"> Minimum Cover Depth "H</t>
    </r>
    <r>
      <rPr>
        <vertAlign val="subscript"/>
        <sz val="11"/>
        <rFont val="Calibri"/>
        <family val="2"/>
        <scheme val="minor"/>
      </rPr>
      <t>min</t>
    </r>
    <r>
      <rPr>
        <sz val="11"/>
        <rFont val="Calibri"/>
        <family val="2"/>
        <scheme val="minor"/>
      </rPr>
      <t>" (ft) =</t>
    </r>
    <r>
      <rPr>
        <sz val="8"/>
        <rFont val="Calibri"/>
        <family val="2"/>
        <scheme val="minor"/>
      </rPr>
      <t xml:space="preserve">                                                                                      </t>
    </r>
    <r>
      <rPr>
        <sz val="10"/>
        <rFont val="Calibri"/>
        <family val="2"/>
        <scheme val="minor"/>
      </rPr>
      <t xml:space="preserve"> (fill depth used to check minimum cover requirement)</t>
    </r>
  </si>
  <si>
    <t>Condition Factor</t>
  </si>
  <si>
    <t>System Factor</t>
  </si>
  <si>
    <r>
      <rPr>
        <sz val="11"/>
        <rFont val="Calibri"/>
        <family val="2"/>
      </rPr>
      <t>ϕ</t>
    </r>
    <r>
      <rPr>
        <vertAlign val="subscript"/>
        <sz val="11"/>
        <rFont val="Calibri"/>
        <family val="2"/>
      </rPr>
      <t>c</t>
    </r>
    <r>
      <rPr>
        <sz val="11"/>
        <rFont val="Calibri"/>
        <family val="2"/>
        <scheme val="minor"/>
      </rPr>
      <t xml:space="preserve"> =</t>
    </r>
  </si>
  <si>
    <t>AASHTO MBE 2nd Edition Table 6A.4.2.3-1 &amp; C6A.4.2.3-1</t>
  </si>
  <si>
    <r>
      <rPr>
        <sz val="11"/>
        <rFont val="Calibri"/>
        <family val="2"/>
      </rPr>
      <t>ϕ</t>
    </r>
    <r>
      <rPr>
        <vertAlign val="subscript"/>
        <sz val="11"/>
        <rFont val="Calibri"/>
        <family val="2"/>
      </rPr>
      <t>s</t>
    </r>
    <r>
      <rPr>
        <sz val="11"/>
        <rFont val="Calibri"/>
        <family val="2"/>
        <scheme val="minor"/>
      </rPr>
      <t xml:space="preserve"> =</t>
    </r>
  </si>
  <si>
    <t>Structural Condition of Member</t>
  </si>
  <si>
    <r>
      <t>Condition Factor, ϕ</t>
    </r>
    <r>
      <rPr>
        <b/>
        <vertAlign val="subscript"/>
        <sz val="10"/>
        <rFont val="Calibri"/>
        <family val="2"/>
        <scheme val="minor"/>
      </rPr>
      <t>c</t>
    </r>
    <r>
      <rPr>
        <b/>
        <sz val="10"/>
        <rFont val="Calibri"/>
        <family val="2"/>
        <scheme val="minor"/>
      </rPr>
      <t xml:space="preserve"> =</t>
    </r>
  </si>
  <si>
    <t>Superstructure Condition Rating                 (SI&amp;A Item 59)</t>
  </si>
  <si>
    <t>Good or Satisfactory</t>
  </si>
  <si>
    <t>6 or Higher</t>
  </si>
  <si>
    <t>Fair</t>
  </si>
  <si>
    <t>Poor</t>
  </si>
  <si>
    <t>4 or Lower</t>
  </si>
  <si>
    <t>Condition Factor (AASHTO MBE 2nd Edition Table 6A.4.2.3-1 &amp; C6A.4.2.3-1)</t>
  </si>
  <si>
    <t>Superstructure Type</t>
  </si>
  <si>
    <r>
      <t>System Factor, ϕ</t>
    </r>
    <r>
      <rPr>
        <b/>
        <vertAlign val="subscript"/>
        <sz val="10"/>
        <rFont val="Calibri"/>
        <family val="2"/>
        <scheme val="minor"/>
      </rPr>
      <t>s</t>
    </r>
    <r>
      <rPr>
        <b/>
        <sz val="10"/>
        <rFont val="Calibri"/>
        <family val="2"/>
        <scheme val="minor"/>
      </rPr>
      <t xml:space="preserve"> =</t>
    </r>
  </si>
  <si>
    <t>Welded Members in Two-Girder/Truss/Arch Bridges</t>
  </si>
  <si>
    <t>Riveted Members in Two-Girder/Truss/Arch Bridges</t>
  </si>
  <si>
    <t>Multiple Eyebar Members in Truss Bridges</t>
  </si>
  <si>
    <r>
      <t xml:space="preserve">Four-Girder Bridges with Girder Spacing </t>
    </r>
    <r>
      <rPr>
        <sz val="10"/>
        <rFont val="Calibri"/>
        <family val="2"/>
      </rPr>
      <t>≤</t>
    </r>
    <r>
      <rPr>
        <sz val="9"/>
        <rFont val="Arial"/>
        <family val="2"/>
      </rPr>
      <t xml:space="preserve"> 4 ft</t>
    </r>
  </si>
  <si>
    <t>All Other Girder Bridges and Slab Bridges</t>
  </si>
  <si>
    <t>Floorbeams with Spacing &gt; 12 ft and Noncontinuous Struingers</t>
  </si>
  <si>
    <t>Redundant Stringer Subsystems between Floorbeams</t>
  </si>
  <si>
    <t>AASHTO MBE 2nd Edition Table 6A.4.2.4-1</t>
  </si>
  <si>
    <t>System Factor for Flexural and Axial Effects (AASHTO MBE 2nd Edition Table 6A.4.2.4-1)</t>
  </si>
  <si>
    <r>
      <t xml:space="preserve">Three-Girder Bridges with Girder Spacing </t>
    </r>
    <r>
      <rPr>
        <sz val="10"/>
        <rFont val="Calibri"/>
        <family val="2"/>
      </rPr>
      <t xml:space="preserve">≤ </t>
    </r>
    <r>
      <rPr>
        <sz val="10"/>
        <rFont val="Arial"/>
        <family val="2"/>
      </rPr>
      <t>6 ft</t>
    </r>
  </si>
  <si>
    <t>AASHTO LRFD 12.5.4. &amp; 1.3.4</t>
  </si>
  <si>
    <r>
      <t>ϕ</t>
    </r>
    <r>
      <rPr>
        <vertAlign val="subscript"/>
        <sz val="12"/>
        <rFont val="Calibri"/>
        <family val="2"/>
      </rPr>
      <t>c</t>
    </r>
    <r>
      <rPr>
        <sz val="12"/>
        <rFont val="Calibri"/>
        <family val="2"/>
      </rPr>
      <t xml:space="preserve"> ϕ</t>
    </r>
    <r>
      <rPr>
        <vertAlign val="subscript"/>
        <sz val="12"/>
        <rFont val="Calibri"/>
        <family val="2"/>
      </rPr>
      <t xml:space="preserve">s </t>
    </r>
    <r>
      <rPr>
        <sz val="12"/>
        <rFont val="Calibri"/>
        <family val="2"/>
      </rPr>
      <t>≥ 0.85</t>
    </r>
    <r>
      <rPr>
        <vertAlign val="subscript"/>
        <sz val="12"/>
        <rFont val="Calibri"/>
        <family val="2"/>
      </rPr>
      <t xml:space="preserve"> </t>
    </r>
    <r>
      <rPr>
        <sz val="12"/>
        <rFont val="Calibri"/>
        <family val="2"/>
      </rPr>
      <t>=</t>
    </r>
  </si>
  <si>
    <r>
      <t>ϕ</t>
    </r>
    <r>
      <rPr>
        <b/>
        <vertAlign val="subscript"/>
        <sz val="10"/>
        <rFont val="Calibri"/>
        <family val="2"/>
        <scheme val="minor"/>
      </rPr>
      <t>c</t>
    </r>
    <r>
      <rPr>
        <b/>
        <sz val="10"/>
        <rFont val="Calibri"/>
        <family val="2"/>
        <scheme val="minor"/>
      </rPr>
      <t xml:space="preserve"> ϕ</t>
    </r>
    <r>
      <rPr>
        <b/>
        <vertAlign val="subscript"/>
        <sz val="10"/>
        <rFont val="Calibri"/>
        <family val="2"/>
        <scheme val="minor"/>
      </rPr>
      <t xml:space="preserve">s </t>
    </r>
  </si>
  <si>
    <t>LRFR Load Factors for Legal Loads &amp; SHV based on MBE Table 6A.4.4.2.3a-1 &amp; Table 6A.4.4.2.3b-1</t>
  </si>
  <si>
    <t>Traffic Volume (one direction)</t>
  </si>
  <si>
    <t>Load Factor</t>
  </si>
  <si>
    <t>Unknown</t>
  </si>
  <si>
    <r>
      <t xml:space="preserve">Recent ADTT </t>
    </r>
    <r>
      <rPr>
        <b/>
        <sz val="10"/>
        <rFont val="Calibri"/>
        <family val="2"/>
      </rPr>
      <t>≥ 5000</t>
    </r>
  </si>
  <si>
    <r>
      <t>interpret or use the bigger value when 1000 &lt;</t>
    </r>
    <r>
      <rPr>
        <sz val="9"/>
        <rFont val="Calibri"/>
        <family val="2"/>
      </rPr>
      <t xml:space="preserve"> </t>
    </r>
    <r>
      <rPr>
        <sz val="9"/>
        <rFont val="Calibri"/>
        <family val="2"/>
        <scheme val="minor"/>
      </rPr>
      <t xml:space="preserve">ADTT </t>
    </r>
    <r>
      <rPr>
        <sz val="9"/>
        <rFont val="Calibri"/>
        <family val="2"/>
      </rPr>
      <t>&lt; 5000</t>
    </r>
  </si>
  <si>
    <r>
      <t xml:space="preserve">Recent ADTT </t>
    </r>
    <r>
      <rPr>
        <b/>
        <sz val="10"/>
        <rFont val="Calibri"/>
        <family val="2"/>
      </rPr>
      <t>≤ 1000</t>
    </r>
  </si>
  <si>
    <t>Loading Type</t>
  </si>
  <si>
    <t>GVW (Tons)</t>
  </si>
  <si>
    <t>Rating Factor - RF</t>
  </si>
  <si>
    <t>Safe GVW (Tons)</t>
  </si>
  <si>
    <t>Load Rating Summary - Specialized Hauling Vehicles (SHV)</t>
  </si>
  <si>
    <t>SU4</t>
  </si>
  <si>
    <t>SU5</t>
  </si>
  <si>
    <t>SU6</t>
  </si>
  <si>
    <t>SU7</t>
  </si>
  <si>
    <r>
      <t xml:space="preserve">for </t>
    </r>
    <r>
      <rPr>
        <b/>
        <sz val="11"/>
        <rFont val="Calibri"/>
        <family val="2"/>
        <scheme val="minor"/>
      </rPr>
      <t>Ohio Legal</t>
    </r>
    <r>
      <rPr>
        <sz val="11"/>
        <rFont val="Calibri"/>
        <family val="2"/>
        <scheme val="minor"/>
      </rPr>
      <t xml:space="preserve"> </t>
    </r>
    <r>
      <rPr>
        <b/>
        <sz val="11"/>
        <rFont val="Calibri"/>
        <family val="2"/>
        <scheme val="minor"/>
      </rPr>
      <t>Trucks</t>
    </r>
    <r>
      <rPr>
        <sz val="11"/>
        <rFont val="Calibri"/>
        <family val="2"/>
        <scheme val="minor"/>
      </rPr>
      <t xml:space="preserve"> and </t>
    </r>
    <r>
      <rPr>
        <b/>
        <sz val="11"/>
        <rFont val="Calibri"/>
        <family val="2"/>
        <scheme val="minor"/>
      </rPr>
      <t>SHVs</t>
    </r>
    <r>
      <rPr>
        <sz val="11"/>
        <rFont val="Calibri"/>
        <family val="2"/>
        <scheme val="minor"/>
      </rPr>
      <t>:</t>
    </r>
  </si>
  <si>
    <r>
      <rPr>
        <b/>
        <sz val="11"/>
        <rFont val="Symbol"/>
        <family val="1"/>
        <charset val="2"/>
      </rPr>
      <t>g</t>
    </r>
    <r>
      <rPr>
        <b/>
        <sz val="11"/>
        <rFont val="Calibri"/>
        <family val="2"/>
      </rPr>
      <t xml:space="preserve"> </t>
    </r>
    <r>
      <rPr>
        <b/>
        <vertAlign val="subscript"/>
        <sz val="11"/>
        <rFont val="Calibri"/>
        <family val="2"/>
        <scheme val="minor"/>
      </rPr>
      <t>LL</t>
    </r>
    <r>
      <rPr>
        <vertAlign val="subscript"/>
        <sz val="10"/>
        <rFont val="Calibri"/>
        <family val="2"/>
      </rPr>
      <t>(Ohio Legal Loads &amp; SHVs - Operating - based on ADTT)</t>
    </r>
    <r>
      <rPr>
        <sz val="11"/>
        <rFont val="Calibri"/>
        <family val="2"/>
      </rPr>
      <t xml:space="preserve"> =</t>
    </r>
  </si>
  <si>
    <t>WEIGHT LIMIT</t>
  </si>
  <si>
    <t>PID Number:</t>
  </si>
  <si>
    <t>ADTT =</t>
  </si>
  <si>
    <r>
      <t xml:space="preserve">Based on </t>
    </r>
    <r>
      <rPr>
        <b/>
        <sz val="10"/>
        <rFont val="Calibri"/>
        <family val="2"/>
        <scheme val="minor"/>
      </rPr>
      <t>AASHTO LRFD 3.6.1.1.2-1:</t>
    </r>
  </si>
  <si>
    <r>
      <t xml:space="preserve">Multiple Presence Factors,   </t>
    </r>
    <r>
      <rPr>
        <b/>
        <sz val="10"/>
        <rFont val="Calibri"/>
        <family val="2"/>
        <scheme val="minor"/>
      </rPr>
      <t>m</t>
    </r>
    <r>
      <rPr>
        <sz val="10"/>
        <rFont val="Calibri"/>
        <family val="2"/>
        <scheme val="minor"/>
      </rPr>
      <t xml:space="preserve"> =</t>
    </r>
  </si>
  <si>
    <t>← one lane loaded assumed here</t>
  </si>
  <si>
    <r>
      <t xml:space="preserve">adjust </t>
    </r>
    <r>
      <rPr>
        <b/>
        <sz val="10"/>
        <rFont val="Calibri"/>
        <family val="2"/>
        <scheme val="minor"/>
      </rPr>
      <t>m</t>
    </r>
    <r>
      <rPr>
        <sz val="10"/>
        <rFont val="Calibri"/>
        <family val="2"/>
        <scheme val="minor"/>
      </rPr>
      <t xml:space="preserve"> based on ADTT =</t>
    </r>
  </si>
  <si>
    <t>See AASHTO LRFD C3.6.1.1.2</t>
  </si>
  <si>
    <r>
      <t xml:space="preserve">after ADTT adjustment, </t>
    </r>
    <r>
      <rPr>
        <b/>
        <sz val="10"/>
        <rFont val="Calibri"/>
        <family val="2"/>
        <scheme val="minor"/>
      </rPr>
      <t>m</t>
    </r>
    <r>
      <rPr>
        <b/>
        <vertAlign val="subscript"/>
        <sz val="10"/>
        <rFont val="Calibri"/>
        <family val="2"/>
        <scheme val="minor"/>
      </rPr>
      <t>adj</t>
    </r>
    <r>
      <rPr>
        <sz val="10"/>
        <rFont val="Calibri"/>
        <family val="2"/>
        <scheme val="minor"/>
      </rPr>
      <t xml:space="preserve"> =</t>
    </r>
  </si>
  <si>
    <r>
      <t xml:space="preserve">P </t>
    </r>
    <r>
      <rPr>
        <vertAlign val="subscript"/>
        <sz val="10"/>
        <rFont val="Calibri"/>
        <family val="2"/>
        <scheme val="minor"/>
      </rPr>
      <t>"heavy axle" wheel load</t>
    </r>
    <r>
      <rPr>
        <sz val="10"/>
        <rFont val="Calibri"/>
        <family val="2"/>
        <scheme val="minor"/>
      </rPr>
      <t xml:space="preserve"> </t>
    </r>
    <r>
      <rPr>
        <vertAlign val="subscript"/>
        <sz val="10"/>
        <rFont val="Calibri"/>
        <family val="2"/>
        <scheme val="minor"/>
      </rPr>
      <t>with</t>
    </r>
    <r>
      <rPr>
        <sz val="10"/>
        <rFont val="Calibri"/>
        <family val="2"/>
        <scheme val="minor"/>
      </rPr>
      <t xml:space="preserve"> m</t>
    </r>
    <r>
      <rPr>
        <vertAlign val="subscript"/>
        <sz val="10"/>
        <rFont val="Calibri"/>
        <family val="2"/>
        <scheme val="minor"/>
      </rPr>
      <t>adj</t>
    </r>
    <r>
      <rPr>
        <sz val="10"/>
        <rFont val="Calibri"/>
        <family val="2"/>
        <scheme val="minor"/>
      </rPr>
      <t xml:space="preserve"> (kips) =</t>
    </r>
  </si>
  <si>
    <r>
      <rPr>
        <b/>
        <sz val="10"/>
        <rFont val="Calibri"/>
        <family val="2"/>
        <scheme val="minor"/>
      </rPr>
      <t>P</t>
    </r>
    <r>
      <rPr>
        <b/>
        <vertAlign val="subscript"/>
        <sz val="10"/>
        <rFont val="Calibri"/>
        <family val="2"/>
        <scheme val="minor"/>
      </rPr>
      <t>heavy</t>
    </r>
    <r>
      <rPr>
        <b/>
        <sz val="10"/>
        <rFont val="Calibri"/>
        <family val="2"/>
        <scheme val="minor"/>
      </rPr>
      <t xml:space="preserve"> </t>
    </r>
    <r>
      <rPr>
        <b/>
        <vertAlign val="subscript"/>
        <sz val="10"/>
        <rFont val="Calibri"/>
        <family val="2"/>
        <scheme val="minor"/>
      </rPr>
      <t xml:space="preserve">(1+ </t>
    </r>
    <r>
      <rPr>
        <b/>
        <vertAlign val="subscript"/>
        <sz val="10"/>
        <rFont val="Times New Roman"/>
        <family val="1"/>
      </rPr>
      <t>IM</t>
    </r>
    <r>
      <rPr>
        <b/>
        <vertAlign val="subscript"/>
        <sz val="10"/>
        <rFont val="Calibri"/>
        <family val="2"/>
        <scheme val="minor"/>
      </rPr>
      <t xml:space="preserve">) &amp; </t>
    </r>
    <r>
      <rPr>
        <b/>
        <sz val="10"/>
        <rFont val="Calibri"/>
        <family val="2"/>
        <scheme val="minor"/>
      </rPr>
      <t>m</t>
    </r>
    <r>
      <rPr>
        <b/>
        <vertAlign val="subscript"/>
        <sz val="10"/>
        <rFont val="Calibri"/>
        <family val="2"/>
        <scheme val="minor"/>
      </rPr>
      <t>adj</t>
    </r>
    <r>
      <rPr>
        <sz val="10"/>
        <rFont val="Calibri"/>
        <family val="2"/>
        <scheme val="minor"/>
      </rPr>
      <t xml:space="preserve"> </t>
    </r>
    <r>
      <rPr>
        <sz val="8"/>
        <rFont val="Calibri"/>
        <family val="2"/>
        <scheme val="minor"/>
      </rPr>
      <t xml:space="preserve">(kips) </t>
    </r>
    <r>
      <rPr>
        <sz val="10"/>
        <rFont val="Calibri"/>
        <family val="2"/>
        <scheme val="minor"/>
      </rPr>
      <t>=</t>
    </r>
  </si>
  <si>
    <r>
      <rPr>
        <b/>
        <sz val="10"/>
        <rFont val="Calibri"/>
        <family val="2"/>
        <scheme val="minor"/>
      </rPr>
      <t>P</t>
    </r>
    <r>
      <rPr>
        <b/>
        <vertAlign val="subscript"/>
        <sz val="10"/>
        <rFont val="Calibri"/>
        <family val="2"/>
        <scheme val="minor"/>
      </rPr>
      <t>2</t>
    </r>
    <r>
      <rPr>
        <b/>
        <sz val="10"/>
        <rFont val="Calibri"/>
        <family val="2"/>
        <scheme val="minor"/>
      </rPr>
      <t xml:space="preserve"> </t>
    </r>
    <r>
      <rPr>
        <b/>
        <vertAlign val="subscript"/>
        <sz val="10"/>
        <rFont val="Calibri"/>
        <family val="2"/>
        <scheme val="minor"/>
      </rPr>
      <t xml:space="preserve">(1+ </t>
    </r>
    <r>
      <rPr>
        <b/>
        <vertAlign val="subscript"/>
        <sz val="10"/>
        <rFont val="Times New Roman"/>
        <family val="1"/>
      </rPr>
      <t>IM</t>
    </r>
    <r>
      <rPr>
        <b/>
        <vertAlign val="subscript"/>
        <sz val="10"/>
        <rFont val="Calibri"/>
        <family val="2"/>
        <scheme val="minor"/>
      </rPr>
      <t>)</t>
    </r>
    <r>
      <rPr>
        <b/>
        <sz val="10"/>
        <rFont val="Calibri"/>
        <family val="2"/>
        <scheme val="minor"/>
      </rPr>
      <t xml:space="preserve"> </t>
    </r>
    <r>
      <rPr>
        <b/>
        <vertAlign val="subscript"/>
        <sz val="10"/>
        <rFont val="Calibri"/>
        <family val="2"/>
        <scheme val="minor"/>
      </rPr>
      <t>&amp;</t>
    </r>
    <r>
      <rPr>
        <b/>
        <sz val="10"/>
        <rFont val="Calibri"/>
        <family val="2"/>
        <scheme val="minor"/>
      </rPr>
      <t xml:space="preserve"> m</t>
    </r>
    <r>
      <rPr>
        <b/>
        <vertAlign val="subscript"/>
        <sz val="10"/>
        <rFont val="Calibri"/>
        <family val="2"/>
        <scheme val="minor"/>
      </rPr>
      <t>adj</t>
    </r>
    <r>
      <rPr>
        <sz val="10"/>
        <rFont val="Calibri"/>
        <family val="2"/>
        <scheme val="minor"/>
      </rPr>
      <t xml:space="preserve"> </t>
    </r>
    <r>
      <rPr>
        <sz val="8"/>
        <rFont val="Calibri"/>
        <family val="2"/>
        <scheme val="minor"/>
      </rPr>
      <t xml:space="preserve">(kips) </t>
    </r>
    <r>
      <rPr>
        <sz val="10"/>
        <rFont val="Calibri"/>
        <family val="2"/>
        <scheme val="minor"/>
      </rPr>
      <t>=</t>
    </r>
  </si>
  <si>
    <r>
      <rPr>
        <b/>
        <sz val="10"/>
        <rFont val="Calibri"/>
        <family val="2"/>
        <scheme val="minor"/>
      </rPr>
      <t>P</t>
    </r>
    <r>
      <rPr>
        <b/>
        <vertAlign val="subscript"/>
        <sz val="10"/>
        <rFont val="Calibri"/>
        <family val="2"/>
        <scheme val="minor"/>
      </rPr>
      <t>3</t>
    </r>
    <r>
      <rPr>
        <b/>
        <sz val="10"/>
        <rFont val="Calibri"/>
        <family val="2"/>
        <scheme val="minor"/>
      </rPr>
      <t xml:space="preserve"> </t>
    </r>
    <r>
      <rPr>
        <b/>
        <vertAlign val="subscript"/>
        <sz val="10"/>
        <rFont val="Calibri"/>
        <family val="2"/>
        <scheme val="minor"/>
      </rPr>
      <t xml:space="preserve">(1+ </t>
    </r>
    <r>
      <rPr>
        <b/>
        <vertAlign val="subscript"/>
        <sz val="10"/>
        <rFont val="Times New Roman"/>
        <family val="1"/>
      </rPr>
      <t>IM</t>
    </r>
    <r>
      <rPr>
        <b/>
        <vertAlign val="subscript"/>
        <sz val="10"/>
        <rFont val="Calibri"/>
        <family val="2"/>
        <scheme val="minor"/>
      </rPr>
      <t>)</t>
    </r>
    <r>
      <rPr>
        <b/>
        <sz val="10"/>
        <rFont val="Calibri"/>
        <family val="2"/>
        <scheme val="minor"/>
      </rPr>
      <t xml:space="preserve"> </t>
    </r>
    <r>
      <rPr>
        <b/>
        <vertAlign val="subscript"/>
        <sz val="10"/>
        <rFont val="Calibri"/>
        <family val="2"/>
        <scheme val="minor"/>
      </rPr>
      <t>&amp;</t>
    </r>
    <r>
      <rPr>
        <b/>
        <sz val="10"/>
        <rFont val="Calibri"/>
        <family val="2"/>
        <scheme val="minor"/>
      </rPr>
      <t xml:space="preserve"> m</t>
    </r>
    <r>
      <rPr>
        <b/>
        <vertAlign val="subscript"/>
        <sz val="10"/>
        <rFont val="Calibri"/>
        <family val="2"/>
        <scheme val="minor"/>
      </rPr>
      <t>adj</t>
    </r>
    <r>
      <rPr>
        <sz val="10"/>
        <rFont val="Calibri"/>
        <family val="2"/>
        <scheme val="minor"/>
      </rPr>
      <t xml:space="preserve"> </t>
    </r>
    <r>
      <rPr>
        <sz val="8"/>
        <rFont val="Calibri"/>
        <family val="2"/>
        <scheme val="minor"/>
      </rPr>
      <t xml:space="preserve">(kips) </t>
    </r>
    <r>
      <rPr>
        <sz val="10"/>
        <rFont val="Calibri"/>
        <family val="2"/>
        <scheme val="minor"/>
      </rPr>
      <t>=</t>
    </r>
  </si>
  <si>
    <r>
      <rPr>
        <b/>
        <sz val="10"/>
        <rFont val="Calibri"/>
        <family val="2"/>
        <scheme val="minor"/>
      </rPr>
      <t xml:space="preserve"> P</t>
    </r>
    <r>
      <rPr>
        <b/>
        <vertAlign val="subscript"/>
        <sz val="10"/>
        <rFont val="Calibri"/>
        <family val="2"/>
        <scheme val="minor"/>
      </rPr>
      <t xml:space="preserve"> (1+ IM)</t>
    </r>
    <r>
      <rPr>
        <sz val="10"/>
        <rFont val="Calibri"/>
        <family val="2"/>
        <scheme val="minor"/>
      </rPr>
      <t xml:space="preserve"> </t>
    </r>
    <r>
      <rPr>
        <b/>
        <vertAlign val="subscript"/>
        <sz val="10"/>
        <rFont val="Calibri"/>
        <family val="2"/>
        <scheme val="minor"/>
      </rPr>
      <t xml:space="preserve">&amp; </t>
    </r>
    <r>
      <rPr>
        <b/>
        <sz val="10"/>
        <rFont val="Calibri"/>
        <family val="2"/>
        <scheme val="minor"/>
      </rPr>
      <t>m</t>
    </r>
    <r>
      <rPr>
        <b/>
        <vertAlign val="subscript"/>
        <sz val="10"/>
        <rFont val="Calibri"/>
        <family val="2"/>
        <scheme val="minor"/>
      </rPr>
      <t>adj</t>
    </r>
    <r>
      <rPr>
        <sz val="10"/>
        <rFont val="Calibri"/>
        <family val="2"/>
        <scheme val="minor"/>
      </rPr>
      <t xml:space="preserve"> = axle wheel loads plus dynamic load allowance and adjusted multiple presence factor.</t>
    </r>
  </si>
  <si>
    <t>SU4, SU5, SU6, SU7</t>
  </si>
  <si>
    <t>estimate the ADTT or input ADTT=5000 if unknown, do not leave blank</t>
  </si>
  <si>
    <t>Type 3</t>
  </si>
  <si>
    <t>P3</t>
  </si>
  <si>
    <t>Type 3S-2</t>
  </si>
  <si>
    <t>Type 3-3</t>
  </si>
  <si>
    <t>NDOR Type 3</t>
  </si>
  <si>
    <t>NDOR Type 3S-2</t>
  </si>
  <si>
    <t>NDOR Type 3-3</t>
  </si>
  <si>
    <t>TRUCK</t>
  </si>
  <si>
    <t>Load Rating Summary - Nebraska Legal Trucks</t>
  </si>
  <si>
    <t>NE Legal Loads Overall Minimum Rating Factor</t>
  </si>
  <si>
    <t>NE Legal Loads Overall Controlling Truck</t>
  </si>
  <si>
    <t>SU Truck</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</si>
</sst>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
    <numFmt numFmtId="165" formatCode="0.000"/>
    <numFmt numFmtId="166" formatCode="0000000"/>
    <numFmt numFmtId="167" formatCode="0.0000"/>
    <numFmt numFmtId="168" formatCode="&quot;#&quot;0"/>
    <numFmt numFmtId="169" formatCode="#\ ??/16"/>
    <numFmt numFmtId="170" formatCode="#\ ?/2"/>
    <numFmt numFmtId="171" formatCode="&quot;HS&quot;0.0"/>
    <numFmt numFmtId="172" formatCode="#,##0.0"/>
    <numFmt numFmtId="173" formatCode="0.00\ \ \f\t"/>
    <numFmt numFmtId="174" formatCode="0\ \T"/>
  </numFmts>
  <fonts count="116" x14ac:knownFonts="1">
    <font>
      <sz val="10"/>
      <name val="Arial"/>
      <family val="2"/>
    </font>
    <font>
      <sz val="10"/>
      <name val="Arial"/>
      <family val="2"/>
    </font>
    <font>
      <sz val="8"/>
      <name val="Arial"/>
      <family val="2"/>
    </font>
    <font>
      <sz val="14"/>
      <name val="Arial"/>
      <family val="2"/>
    </font>
    <font>
      <sz val="10"/>
      <color indexed="8"/>
      <name val="Arial"/>
      <family val="2"/>
    </font>
    <font>
      <sz val="11"/>
      <name val="Times New Roman"/>
      <family val="1"/>
    </font>
    <font>
      <sz val="10"/>
      <name val="Times New Roman"/>
      <family val="1"/>
    </font>
    <font>
      <sz val="14"/>
      <name val="Times New Roman"/>
      <family val="1"/>
    </font>
    <font>
      <i/>
      <sz val="10"/>
      <name val="Times New Roman"/>
      <family val="1"/>
    </font>
    <font>
      <b/>
      <sz val="14"/>
      <color indexed="12"/>
      <name val="Arial"/>
      <family val="2"/>
    </font>
    <font>
      <b/>
      <i/>
      <sz val="10"/>
      <name val="Times New Roman"/>
      <family val="1"/>
    </font>
    <font>
      <b/>
      <sz val="14"/>
      <name val="Times New Roman"/>
      <family val="1"/>
    </font>
    <font>
      <sz val="11"/>
      <name val="Calibri"/>
      <family val="2"/>
    </font>
    <font>
      <sz val="10"/>
      <name val="Arial"/>
      <family val="2"/>
    </font>
    <font>
      <sz val="9"/>
      <name val="Calibri"/>
      <family val="2"/>
    </font>
    <font>
      <sz val="10"/>
      <name val="Calibri"/>
      <family val="2"/>
    </font>
    <font>
      <b/>
      <sz val="12"/>
      <name val="Calibri"/>
      <family val="2"/>
    </font>
    <font>
      <b/>
      <sz val="14"/>
      <name val="Calibri"/>
      <family val="2"/>
    </font>
    <font>
      <sz val="12"/>
      <name val="Calibri"/>
      <family val="2"/>
    </font>
    <font>
      <b/>
      <sz val="9"/>
      <name val="Calibri"/>
      <family val="2"/>
    </font>
    <font>
      <b/>
      <sz val="10"/>
      <name val="Calibri"/>
      <family val="2"/>
    </font>
    <font>
      <vertAlign val="subscript"/>
      <sz val="10"/>
      <name val="Calibri"/>
      <family val="2"/>
    </font>
    <font>
      <vertAlign val="superscript"/>
      <sz val="10"/>
      <name val="Calibri"/>
      <family val="2"/>
    </font>
    <font>
      <b/>
      <sz val="14"/>
      <color rgb="FF0000FF"/>
      <name val="Times New Roman"/>
      <family val="1"/>
    </font>
    <font>
      <b/>
      <u/>
      <sz val="20"/>
      <color rgb="FFC00000"/>
      <name val="Arial"/>
      <family val="2"/>
    </font>
    <font>
      <sz val="9"/>
      <name val="Calibri"/>
      <family val="2"/>
      <scheme val="minor"/>
    </font>
    <font>
      <sz val="9"/>
      <color rgb="FFFF0000"/>
      <name val="Calibri"/>
      <family val="2"/>
      <scheme val="minor"/>
    </font>
    <font>
      <b/>
      <sz val="14"/>
      <color indexed="8"/>
      <name val="Calibri"/>
      <family val="2"/>
      <scheme val="minor"/>
    </font>
    <font>
      <sz val="10"/>
      <name val="Calibri"/>
      <family val="2"/>
      <scheme val="minor"/>
    </font>
    <font>
      <i/>
      <sz val="10"/>
      <color rgb="FF2E08B8"/>
      <name val="Calibri"/>
      <family val="2"/>
      <scheme val="minor"/>
    </font>
    <font>
      <i/>
      <sz val="10"/>
      <name val="Calibri"/>
      <family val="2"/>
      <scheme val="minor"/>
    </font>
    <font>
      <b/>
      <i/>
      <sz val="10"/>
      <name val="Calibri"/>
      <family val="2"/>
      <scheme val="minor"/>
    </font>
    <font>
      <b/>
      <sz val="12"/>
      <name val="Calibri"/>
      <family val="2"/>
      <scheme val="minor"/>
    </font>
    <font>
      <b/>
      <sz val="10"/>
      <name val="Calibri"/>
      <family val="2"/>
      <scheme val="minor"/>
    </font>
    <font>
      <b/>
      <sz val="9"/>
      <name val="Calibri"/>
      <family val="2"/>
      <scheme val="minor"/>
    </font>
    <font>
      <sz val="8"/>
      <name val="Calibri"/>
      <family val="2"/>
      <scheme val="minor"/>
    </font>
    <font>
      <b/>
      <sz val="12"/>
      <color indexed="8"/>
      <name val="Calibri"/>
      <family val="2"/>
      <scheme val="minor"/>
    </font>
    <font>
      <vertAlign val="subscript"/>
      <sz val="9"/>
      <name val="Calibri"/>
      <family val="2"/>
      <scheme val="minor"/>
    </font>
    <font>
      <b/>
      <sz val="11"/>
      <name val="Calibri"/>
      <family val="2"/>
      <scheme val="minor"/>
    </font>
    <font>
      <vertAlign val="subscript"/>
      <sz val="10"/>
      <name val="Calibri"/>
      <family val="2"/>
      <scheme val="minor"/>
    </font>
    <font>
      <sz val="12"/>
      <name val="Calibri"/>
      <family val="2"/>
      <scheme val="minor"/>
    </font>
    <font>
      <vertAlign val="subscript"/>
      <sz val="12"/>
      <name val="Calibri"/>
      <family val="2"/>
      <scheme val="minor"/>
    </font>
    <font>
      <sz val="12"/>
      <color rgb="FF000000"/>
      <name val="Calibri"/>
      <family val="2"/>
      <scheme val="minor"/>
    </font>
    <font>
      <b/>
      <sz val="12"/>
      <color rgb="FF000000"/>
      <name val="Calibri"/>
      <family val="2"/>
      <scheme val="minor"/>
    </font>
    <font>
      <vertAlign val="subscript"/>
      <sz val="12"/>
      <color rgb="FF000000"/>
      <name val="Calibri"/>
      <family val="2"/>
      <scheme val="minor"/>
    </font>
    <font>
      <b/>
      <vertAlign val="subscript"/>
      <sz val="12"/>
      <color rgb="FF000000"/>
      <name val="Calibri"/>
      <family val="2"/>
      <scheme val="minor"/>
    </font>
    <font>
      <vertAlign val="subscript"/>
      <sz val="12"/>
      <name val="Calibri"/>
      <family val="2"/>
    </font>
    <font>
      <vertAlign val="superscript"/>
      <sz val="10"/>
      <name val="Calibri"/>
      <family val="2"/>
      <scheme val="minor"/>
    </font>
    <font>
      <b/>
      <sz val="8"/>
      <name val="Calibri"/>
      <family val="2"/>
      <scheme val="minor"/>
    </font>
    <font>
      <vertAlign val="subscript"/>
      <sz val="8"/>
      <name val="Calibri"/>
      <family val="2"/>
      <scheme val="minor"/>
    </font>
    <font>
      <vertAlign val="superscript"/>
      <sz val="8"/>
      <name val="Calibri"/>
      <family val="2"/>
      <scheme val="minor"/>
    </font>
    <font>
      <b/>
      <sz val="8"/>
      <name val="Arial"/>
      <family val="2"/>
    </font>
    <font>
      <b/>
      <i/>
      <sz val="8"/>
      <name val="Arial"/>
      <family val="2"/>
    </font>
    <font>
      <b/>
      <i/>
      <sz val="9"/>
      <name val="Calibri"/>
      <family val="2"/>
      <scheme val="minor"/>
    </font>
    <font>
      <sz val="11"/>
      <name val="Calibri"/>
      <family val="2"/>
      <scheme val="minor"/>
    </font>
    <font>
      <sz val="16"/>
      <name val="Arial"/>
      <family val="2"/>
    </font>
    <font>
      <sz val="16"/>
      <color rgb="FFFF0000"/>
      <name val="Arial"/>
      <family val="2"/>
    </font>
    <font>
      <b/>
      <sz val="10"/>
      <color rgb="FFFF0000"/>
      <name val="Calibri"/>
      <family val="2"/>
      <scheme val="minor"/>
    </font>
    <font>
      <b/>
      <vertAlign val="subscript"/>
      <sz val="10"/>
      <name val="Calibri"/>
      <family val="2"/>
      <scheme val="minor"/>
    </font>
    <font>
      <b/>
      <sz val="10"/>
      <color indexed="8"/>
      <name val="Calibri"/>
      <family val="2"/>
      <scheme val="minor"/>
    </font>
    <font>
      <b/>
      <vertAlign val="subscript"/>
      <sz val="9"/>
      <name val="Calibri"/>
      <family val="2"/>
    </font>
    <font>
      <b/>
      <vertAlign val="subscript"/>
      <sz val="9"/>
      <name val="Calibri"/>
      <family val="2"/>
      <scheme val="minor"/>
    </font>
    <font>
      <b/>
      <sz val="14"/>
      <color indexed="8"/>
      <name val="Calibri"/>
      <family val="2"/>
    </font>
    <font>
      <sz val="10"/>
      <color indexed="8"/>
      <name val="Calibri"/>
      <family val="2"/>
      <scheme val="minor"/>
    </font>
    <font>
      <b/>
      <sz val="11"/>
      <color rgb="FFFF0000"/>
      <name val="Calibri"/>
      <family val="2"/>
      <scheme val="minor"/>
    </font>
    <font>
      <b/>
      <sz val="12"/>
      <color rgb="FFFF0000"/>
      <name val="Calibri"/>
      <family val="2"/>
      <scheme val="minor"/>
    </font>
    <font>
      <sz val="14"/>
      <name val="Calibri"/>
      <family val="2"/>
    </font>
    <font>
      <sz val="16"/>
      <name val="Calibri"/>
      <family val="2"/>
      <scheme val="minor"/>
    </font>
    <font>
      <b/>
      <sz val="10"/>
      <name val="Times New Roman"/>
      <family val="1"/>
    </font>
    <font>
      <vertAlign val="subscript"/>
      <sz val="11"/>
      <name val="Calibri"/>
      <family val="2"/>
      <scheme val="minor"/>
    </font>
    <font>
      <b/>
      <vertAlign val="subscript"/>
      <sz val="10"/>
      <name val="Times New Roman"/>
      <family val="1"/>
    </font>
    <font>
      <i/>
      <vertAlign val="subscript"/>
      <sz val="10"/>
      <name val="Times New Roman"/>
      <family val="1"/>
    </font>
    <font>
      <b/>
      <i/>
      <sz val="12"/>
      <name val="Calibri"/>
      <family val="2"/>
      <scheme val="minor"/>
    </font>
    <font>
      <b/>
      <i/>
      <vertAlign val="subscript"/>
      <sz val="12"/>
      <name val="Calibri"/>
      <family val="2"/>
      <scheme val="minor"/>
    </font>
    <font>
      <sz val="11"/>
      <name val="Arial"/>
      <family val="2"/>
    </font>
    <font>
      <sz val="11"/>
      <color rgb="FFFF0000"/>
      <name val="Calibri"/>
      <family val="2"/>
      <scheme val="minor"/>
    </font>
    <font>
      <i/>
      <sz val="8"/>
      <color rgb="FFFF0000"/>
      <name val="Calibri"/>
      <family val="2"/>
      <scheme val="minor"/>
    </font>
    <font>
      <sz val="11"/>
      <color indexed="8"/>
      <name val="Calibri"/>
      <family val="2"/>
      <scheme val="minor"/>
    </font>
    <font>
      <sz val="10"/>
      <color rgb="FFFF0000"/>
      <name val="Calibri"/>
      <family val="2"/>
      <scheme val="minor"/>
    </font>
    <font>
      <b/>
      <i/>
      <sz val="12"/>
      <color rgb="FFFF0000"/>
      <name val="Calibri"/>
      <family val="2"/>
      <scheme val="minor"/>
    </font>
    <font>
      <sz val="10"/>
      <name val="Symbol"/>
      <family val="1"/>
      <charset val="2"/>
    </font>
    <font>
      <b/>
      <sz val="10"/>
      <name val="Symbol"/>
      <family val="1"/>
      <charset val="2"/>
    </font>
    <font>
      <b/>
      <sz val="9"/>
      <color rgb="FFFF0000"/>
      <name val="Calibri"/>
      <family val="2"/>
      <scheme val="minor"/>
    </font>
    <font>
      <sz val="14"/>
      <name val="Calibri"/>
      <family val="2"/>
      <scheme val="minor"/>
    </font>
    <font>
      <i/>
      <sz val="11"/>
      <name val="Calibri"/>
      <family val="2"/>
      <scheme val="minor"/>
    </font>
    <font>
      <sz val="11"/>
      <color rgb="FF000000"/>
      <name val="Calibri"/>
      <family val="2"/>
      <scheme val="minor"/>
    </font>
    <font>
      <b/>
      <sz val="11"/>
      <color rgb="FF000000"/>
      <name val="Calibri"/>
      <family val="2"/>
      <scheme val="minor"/>
    </font>
    <font>
      <i/>
      <sz val="11"/>
      <color rgb="FF000000"/>
      <name val="Calibri"/>
      <family val="2"/>
      <scheme val="minor"/>
    </font>
    <font>
      <b/>
      <sz val="16"/>
      <name val="Calibri"/>
      <family val="2"/>
    </font>
    <font>
      <b/>
      <sz val="16"/>
      <name val="Calibri"/>
      <family val="2"/>
      <scheme val="minor"/>
    </font>
    <font>
      <b/>
      <u/>
      <sz val="10"/>
      <color rgb="FFC00000"/>
      <name val="Calibri"/>
      <family val="2"/>
      <scheme val="minor"/>
    </font>
    <font>
      <b/>
      <i/>
      <sz val="11"/>
      <name val="Calibri"/>
      <family val="2"/>
      <scheme val="minor"/>
    </font>
    <font>
      <sz val="12"/>
      <name val="Arial"/>
      <family val="2"/>
    </font>
    <font>
      <vertAlign val="superscript"/>
      <sz val="11"/>
      <name val="Calibri"/>
      <family val="2"/>
      <scheme val="minor"/>
    </font>
    <font>
      <sz val="11"/>
      <color rgb="FF000000"/>
      <name val="Times New Roman"/>
      <family val="1"/>
    </font>
    <font>
      <vertAlign val="superscript"/>
      <sz val="11"/>
      <name val="Calibri"/>
      <family val="2"/>
    </font>
    <font>
      <b/>
      <vertAlign val="subscript"/>
      <sz val="11"/>
      <name val="Calibri"/>
      <family val="2"/>
      <scheme val="minor"/>
    </font>
    <font>
      <b/>
      <vertAlign val="subscript"/>
      <sz val="12"/>
      <name val="Calibri"/>
      <family val="2"/>
      <scheme val="minor"/>
    </font>
    <font>
      <b/>
      <sz val="11"/>
      <name val="Symbol"/>
      <family val="1"/>
      <charset val="2"/>
    </font>
    <font>
      <b/>
      <sz val="11"/>
      <name val="Calibri"/>
      <family val="2"/>
    </font>
    <font>
      <b/>
      <sz val="9"/>
      <name val="Symbol"/>
      <family val="1"/>
      <charset val="2"/>
    </font>
    <font>
      <b/>
      <sz val="16"/>
      <color rgb="FF000000"/>
      <name val="Calibri"/>
      <family val="2"/>
      <scheme val="minor"/>
    </font>
    <font>
      <vertAlign val="subscript"/>
      <sz val="11"/>
      <name val="Calibri"/>
      <family val="2"/>
    </font>
    <font>
      <b/>
      <u/>
      <sz val="12"/>
      <name val="Calibri"/>
      <family val="2"/>
      <scheme val="minor"/>
    </font>
    <font>
      <sz val="9"/>
      <name val="Arial"/>
      <family val="2"/>
    </font>
    <font>
      <sz val="10.5"/>
      <name val="Calibri"/>
      <family val="2"/>
      <scheme val="minor"/>
    </font>
    <font>
      <i/>
      <sz val="10"/>
      <name val="Arial"/>
      <family val="2"/>
    </font>
    <font>
      <b/>
      <sz val="10"/>
      <color theme="1"/>
      <name val="Arial"/>
      <family val="2"/>
    </font>
    <font>
      <b/>
      <sz val="12"/>
      <name val="Times New Roman"/>
      <family val="1"/>
    </font>
    <font>
      <b/>
      <sz val="9"/>
      <name val="Times New Roman"/>
      <family val="1"/>
    </font>
    <font>
      <b/>
      <i/>
      <sz val="12"/>
      <name val="Times New Roman"/>
      <family val="1"/>
    </font>
    <font>
      <sz val="9"/>
      <name val="Times New Roman"/>
      <family val="1"/>
    </font>
    <font>
      <b/>
      <sz val="14"/>
      <name val="Cambria"/>
      <family val="1"/>
      <scheme val="major"/>
    </font>
    <font>
      <b/>
      <sz val="18"/>
      <name val="Cambria"/>
      <family val="1"/>
      <scheme val="major"/>
    </font>
    <font>
      <b/>
      <sz val="12"/>
      <name val="Cambria"/>
      <family val="1"/>
      <scheme val="major"/>
    </font>
    <font>
      <sz val="12"/>
      <name val="Cambria"/>
      <family val="1"/>
      <scheme val="major"/>
    </font>
  </fonts>
  <fills count="11">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4" tint="0.79998168889431442"/>
        <bgColor indexed="64"/>
      </patternFill>
    </fill>
  </fills>
  <borders count="125">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right/>
      <top style="thin">
        <color indexed="64"/>
      </top>
      <bottom style="thin">
        <color indexed="64"/>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double">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top style="double">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diagonalDown="1">
      <left style="double">
        <color indexed="64"/>
      </left>
      <right style="thin">
        <color indexed="64"/>
      </right>
      <top style="double">
        <color indexed="64"/>
      </top>
      <bottom style="thin">
        <color indexed="64"/>
      </bottom>
      <diagonal style="thin">
        <color indexed="64"/>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double">
        <color indexed="64"/>
      </top>
      <bottom style="double">
        <color indexed="64"/>
      </bottom>
      <diagonal/>
    </border>
    <border diagonalDown="1">
      <left style="double">
        <color indexed="64"/>
      </left>
      <right style="double">
        <color indexed="64"/>
      </right>
      <top style="double">
        <color indexed="64"/>
      </top>
      <bottom style="double">
        <color indexed="64"/>
      </bottom>
      <diagonal style="thin">
        <color indexed="64"/>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double">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double">
        <color indexed="64"/>
      </bottom>
      <diagonal/>
    </border>
    <border>
      <left style="thin">
        <color indexed="64"/>
      </left>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diagonalDown="1">
      <left style="double">
        <color indexed="64"/>
      </left>
      <right style="double">
        <color indexed="64"/>
      </right>
      <top/>
      <bottom style="double">
        <color indexed="64"/>
      </bottom>
      <diagonal style="thin">
        <color indexed="64"/>
      </diagonal>
    </border>
    <border>
      <left/>
      <right style="thin">
        <color indexed="64"/>
      </right>
      <top/>
      <bottom style="double">
        <color indexed="64"/>
      </bottom>
      <diagonal/>
    </border>
    <border>
      <left style="thin">
        <color indexed="64"/>
      </left>
      <right/>
      <top style="double">
        <color indexed="64"/>
      </top>
      <bottom style="thin">
        <color indexed="64"/>
      </bottom>
      <diagonal/>
    </border>
  </borders>
  <cellStyleXfs count="2">
    <xf numFmtId="0" fontId="0" fillId="0" borderId="0"/>
    <xf numFmtId="0" fontId="13" fillId="0" borderId="0"/>
  </cellStyleXfs>
  <cellXfs count="899">
    <xf numFmtId="0" fontId="0" fillId="0" borderId="0" xfId="0"/>
    <xf numFmtId="0" fontId="0" fillId="0" borderId="0" xfId="0" applyBorder="1"/>
    <xf numFmtId="0" fontId="0" fillId="0" borderId="4" xfId="0" applyBorder="1"/>
    <xf numFmtId="0" fontId="0" fillId="0" borderId="8" xfId="0" applyBorder="1"/>
    <xf numFmtId="0" fontId="0" fillId="0" borderId="9" xfId="0" applyBorder="1"/>
    <xf numFmtId="0" fontId="0" fillId="0" borderId="17" xfId="0" applyBorder="1"/>
    <xf numFmtId="0" fontId="13" fillId="0" borderId="0" xfId="1"/>
    <xf numFmtId="0" fontId="13" fillId="0" borderId="0" xfId="1" applyFill="1" applyBorder="1"/>
    <xf numFmtId="0" fontId="7" fillId="0" borderId="0" xfId="1" applyFont="1" applyFill="1" applyBorder="1"/>
    <xf numFmtId="165" fontId="8" fillId="0" borderId="0" xfId="1" applyNumberFormat="1" applyFont="1" applyFill="1" applyBorder="1" applyAlignment="1">
      <alignment horizontal="center" vertical="center"/>
    </xf>
    <xf numFmtId="0" fontId="7" fillId="0" borderId="0" xfId="1" applyFont="1" applyBorder="1"/>
    <xf numFmtId="0" fontId="13" fillId="0" borderId="0" xfId="1" applyBorder="1"/>
    <xf numFmtId="0" fontId="13" fillId="0" borderId="0" xfId="1" applyAlignment="1"/>
    <xf numFmtId="167" fontId="7" fillId="0" borderId="0" xfId="1" applyNumberFormat="1" applyFont="1" applyBorder="1"/>
    <xf numFmtId="2" fontId="7" fillId="0" borderId="0" xfId="1" applyNumberFormat="1" applyFont="1" applyBorder="1"/>
    <xf numFmtId="167" fontId="6" fillId="0" borderId="0" xfId="1" applyNumberFormat="1" applyFont="1" applyBorder="1"/>
    <xf numFmtId="2" fontId="23" fillId="0" borderId="0" xfId="1" applyNumberFormat="1" applyFont="1" applyBorder="1"/>
    <xf numFmtId="0" fontId="9" fillId="0" borderId="0" xfId="1" applyFont="1" applyBorder="1" applyProtection="1">
      <protection locked="0"/>
    </xf>
    <xf numFmtId="168" fontId="9" fillId="0" borderId="0" xfId="1" applyNumberFormat="1" applyFont="1" applyBorder="1" applyProtection="1">
      <protection locked="0"/>
    </xf>
    <xf numFmtId="0" fontId="11" fillId="0" borderId="0" xfId="1" applyFont="1" applyBorder="1" applyAlignment="1">
      <alignment wrapText="1"/>
    </xf>
    <xf numFmtId="0" fontId="11" fillId="0" borderId="0" xfId="1" applyFont="1" applyBorder="1" applyAlignment="1"/>
    <xf numFmtId="1" fontId="9" fillId="0" borderId="0" xfId="1" applyNumberFormat="1" applyFont="1" applyBorder="1" applyProtection="1">
      <protection locked="0"/>
    </xf>
    <xf numFmtId="0" fontId="7" fillId="0" borderId="0" xfId="1" applyFont="1"/>
    <xf numFmtId="166" fontId="9" fillId="0" borderId="0" xfId="1" applyNumberFormat="1" applyFont="1" applyBorder="1" applyProtection="1">
      <protection locked="0"/>
    </xf>
    <xf numFmtId="0" fontId="6" fillId="0" borderId="38" xfId="1" applyFont="1" applyFill="1" applyBorder="1" applyAlignment="1">
      <alignment horizontal="center" vertical="center"/>
    </xf>
    <xf numFmtId="14" fontId="6" fillId="0" borderId="39" xfId="1" applyNumberFormat="1" applyFont="1" applyFill="1" applyBorder="1" applyAlignment="1">
      <alignment horizontal="center" vertical="center"/>
    </xf>
    <xf numFmtId="0" fontId="6" fillId="0" borderId="39" xfId="1" applyFont="1" applyFill="1" applyBorder="1" applyAlignment="1">
      <alignment horizontal="center" vertical="center"/>
    </xf>
    <xf numFmtId="0" fontId="6" fillId="0" borderId="39" xfId="1" applyFont="1" applyBorder="1" applyAlignment="1">
      <alignment horizontal="center" vertical="center"/>
    </xf>
    <xf numFmtId="0" fontId="6" fillId="0" borderId="40" xfId="1" applyFont="1" applyFill="1" applyBorder="1" applyAlignment="1">
      <alignment horizontal="center" vertical="center"/>
    </xf>
    <xf numFmtId="0" fontId="24" fillId="0" borderId="0" xfId="1" applyFont="1" applyAlignment="1"/>
    <xf numFmtId="0" fontId="10" fillId="0" borderId="39" xfId="1" applyFont="1" applyFill="1" applyBorder="1" applyAlignment="1">
      <alignment vertical="top" wrapText="1"/>
    </xf>
    <xf numFmtId="0" fontId="27" fillId="0" borderId="0" xfId="0" applyFont="1" applyAlignment="1">
      <alignment horizontal="left" vertical="center"/>
    </xf>
    <xf numFmtId="0" fontId="28" fillId="0" borderId="46" xfId="1" applyFont="1" applyFill="1" applyBorder="1" applyAlignment="1">
      <alignment horizontal="right" vertical="center"/>
    </xf>
    <xf numFmtId="0" fontId="28" fillId="0" borderId="45" xfId="1" applyFont="1" applyBorder="1" applyAlignment="1">
      <alignment horizontal="right" vertical="center"/>
    </xf>
    <xf numFmtId="0" fontId="28" fillId="0" borderId="0" xfId="0" applyFont="1" applyAlignment="1">
      <alignment vertical="center"/>
    </xf>
    <xf numFmtId="0" fontId="28" fillId="0" borderId="43" xfId="1" applyFont="1" applyFill="1" applyBorder="1" applyAlignment="1">
      <alignment horizontal="right" vertical="center"/>
    </xf>
    <xf numFmtId="0" fontId="28" fillId="0" borderId="0" xfId="1" applyFont="1" applyBorder="1" applyAlignment="1">
      <alignment horizontal="right" vertical="center"/>
    </xf>
    <xf numFmtId="0" fontId="28" fillId="0" borderId="0" xfId="1" applyFont="1" applyFill="1" applyBorder="1" applyAlignment="1">
      <alignment horizontal="center" vertical="center"/>
    </xf>
    <xf numFmtId="0" fontId="29" fillId="2" borderId="42" xfId="1" applyFont="1" applyFill="1" applyBorder="1" applyAlignment="1">
      <alignment horizontal="center" vertical="center"/>
    </xf>
    <xf numFmtId="0" fontId="28" fillId="0" borderId="40" xfId="1" applyFont="1" applyFill="1" applyBorder="1" applyAlignment="1">
      <alignment horizontal="center" vertical="center"/>
    </xf>
    <xf numFmtId="0" fontId="31" fillId="0" borderId="39" xfId="1" applyFont="1" applyFill="1" applyBorder="1" applyAlignment="1">
      <alignment vertical="center" wrapText="1"/>
    </xf>
    <xf numFmtId="0" fontId="28" fillId="0" borderId="39" xfId="1" applyFont="1" applyBorder="1" applyAlignment="1">
      <alignment horizontal="center" vertical="center"/>
    </xf>
    <xf numFmtId="0" fontId="28" fillId="0" borderId="39" xfId="1" applyFont="1" applyFill="1" applyBorder="1" applyAlignment="1">
      <alignment horizontal="center" vertical="center"/>
    </xf>
    <xf numFmtId="14" fontId="28" fillId="0" borderId="39" xfId="1" applyNumberFormat="1" applyFont="1" applyFill="1" applyBorder="1" applyAlignment="1">
      <alignment horizontal="center" vertical="center"/>
    </xf>
    <xf numFmtId="0" fontId="32" fillId="0" borderId="0" xfId="0" applyFont="1" applyAlignment="1">
      <alignment vertical="center" wrapText="1"/>
    </xf>
    <xf numFmtId="0" fontId="25" fillId="0" borderId="0" xfId="0" applyFont="1" applyAlignment="1">
      <alignment horizontal="left" vertical="center"/>
    </xf>
    <xf numFmtId="0" fontId="25" fillId="0" borderId="34" xfId="0" applyFont="1" applyBorder="1" applyAlignment="1">
      <alignment horizontal="left" vertical="center"/>
    </xf>
    <xf numFmtId="0" fontId="33" fillId="0" borderId="0" xfId="0" applyFont="1" applyBorder="1" applyAlignment="1">
      <alignment horizontal="center" vertical="center"/>
    </xf>
    <xf numFmtId="0" fontId="28" fillId="0" borderId="0" xfId="0" applyFont="1" applyBorder="1" applyAlignment="1">
      <alignment vertical="center"/>
    </xf>
    <xf numFmtId="0" fontId="33" fillId="0" borderId="6" xfId="0" applyFont="1" applyBorder="1" applyAlignment="1">
      <alignment horizontal="right" vertical="center" wrapText="1"/>
    </xf>
    <xf numFmtId="2" fontId="28" fillId="0" borderId="6" xfId="0" applyNumberFormat="1" applyFont="1" applyBorder="1" applyAlignment="1">
      <alignment horizontal="center" vertical="center"/>
    </xf>
    <xf numFmtId="9" fontId="28" fillId="0" borderId="6" xfId="0" applyNumberFormat="1" applyFont="1" applyBorder="1" applyAlignment="1">
      <alignment horizontal="center" vertical="center"/>
    </xf>
    <xf numFmtId="2" fontId="28" fillId="0" borderId="33" xfId="0" applyNumberFormat="1" applyFont="1" applyBorder="1" applyAlignment="1">
      <alignment horizontal="center" vertical="center"/>
    </xf>
    <xf numFmtId="164" fontId="28" fillId="0" borderId="6" xfId="0" applyNumberFormat="1" applyFont="1" applyBorder="1" applyAlignment="1">
      <alignment horizontal="center" vertical="center"/>
    </xf>
    <xf numFmtId="165" fontId="25" fillId="0" borderId="6" xfId="1" applyNumberFormat="1" applyFont="1" applyFill="1" applyBorder="1" applyAlignment="1">
      <alignment horizontal="center" vertical="center"/>
    </xf>
    <xf numFmtId="165" fontId="25" fillId="0" borderId="6" xfId="1" applyNumberFormat="1" applyFont="1" applyBorder="1" applyAlignment="1">
      <alignment horizontal="center" vertical="center"/>
    </xf>
    <xf numFmtId="0" fontId="28" fillId="0" borderId="6" xfId="1" applyFont="1" applyFill="1" applyBorder="1" applyAlignment="1">
      <alignment horizontal="center"/>
    </xf>
    <xf numFmtId="0" fontId="28" fillId="0" borderId="6" xfId="1" applyFont="1" applyBorder="1" applyAlignment="1">
      <alignment horizontal="center"/>
    </xf>
    <xf numFmtId="0" fontId="33" fillId="0" borderId="6" xfId="1" applyFont="1" applyFill="1" applyBorder="1" applyAlignment="1">
      <alignment horizontal="center" vertical="center"/>
    </xf>
    <xf numFmtId="0" fontId="1" fillId="0" borderId="6" xfId="1" applyFont="1" applyBorder="1" applyAlignment="1">
      <alignment horizontal="center"/>
    </xf>
    <xf numFmtId="167" fontId="2" fillId="0" borderId="6" xfId="0" applyNumberFormat="1" applyFont="1" applyBorder="1" applyAlignment="1">
      <alignment horizontal="center" vertical="center"/>
    </xf>
    <xf numFmtId="165" fontId="2" fillId="0" borderId="22" xfId="0" applyNumberFormat="1" applyFont="1" applyBorder="1" applyAlignment="1">
      <alignment horizontal="center" vertical="center"/>
    </xf>
    <xf numFmtId="165" fontId="2" fillId="0" borderId="23" xfId="0" applyNumberFormat="1" applyFont="1" applyBorder="1" applyAlignment="1">
      <alignment horizontal="center" vertical="center"/>
    </xf>
    <xf numFmtId="165" fontId="2" fillId="0" borderId="17" xfId="0" applyNumberFormat="1" applyFont="1" applyBorder="1" applyAlignment="1">
      <alignment horizontal="center" vertical="center"/>
    </xf>
    <xf numFmtId="167" fontId="2" fillId="0" borderId="18" xfId="0" applyNumberFormat="1" applyFont="1" applyBorder="1" applyAlignment="1">
      <alignment horizontal="center" vertical="center"/>
    </xf>
    <xf numFmtId="165" fontId="2" fillId="0" borderId="19" xfId="0" applyNumberFormat="1" applyFont="1" applyBorder="1" applyAlignment="1">
      <alignment horizontal="center" vertical="center"/>
    </xf>
    <xf numFmtId="165" fontId="2" fillId="0" borderId="20" xfId="0" applyNumberFormat="1" applyFont="1" applyBorder="1" applyAlignment="1">
      <alignment horizontal="center" vertical="center"/>
    </xf>
    <xf numFmtId="167" fontId="2" fillId="0" borderId="13" xfId="0" applyNumberFormat="1" applyFont="1" applyBorder="1" applyAlignment="1">
      <alignment horizontal="center" vertical="center"/>
    </xf>
    <xf numFmtId="165" fontId="2" fillId="0" borderId="21" xfId="0" applyNumberFormat="1" applyFont="1" applyBorder="1" applyAlignment="1">
      <alignment horizontal="center" vertical="center"/>
    </xf>
    <xf numFmtId="165" fontId="2" fillId="0" borderId="0" xfId="0" applyNumberFormat="1" applyFont="1" applyBorder="1" applyAlignment="1">
      <alignment horizontal="center" vertical="center"/>
    </xf>
    <xf numFmtId="167" fontId="2" fillId="0" borderId="0" xfId="0" applyNumberFormat="1" applyFont="1" applyBorder="1" applyAlignment="1">
      <alignment horizontal="center" vertical="center"/>
    </xf>
    <xf numFmtId="0" fontId="0" fillId="0" borderId="0" xfId="0" applyBorder="1" applyAlignment="1">
      <alignment horizontal="left" vertical="center"/>
    </xf>
    <xf numFmtId="0" fontId="0" fillId="0" borderId="0" xfId="0" applyBorder="1" applyAlignment="1">
      <alignment vertical="center"/>
    </xf>
    <xf numFmtId="2" fontId="28" fillId="0" borderId="0" xfId="0" applyNumberFormat="1" applyFont="1" applyBorder="1" applyAlignment="1">
      <alignment horizontal="center" vertical="center"/>
    </xf>
    <xf numFmtId="2" fontId="28" fillId="0" borderId="6" xfId="0" applyNumberFormat="1" applyFont="1" applyFill="1" applyBorder="1" applyAlignment="1">
      <alignment horizontal="center" vertical="center"/>
    </xf>
    <xf numFmtId="1" fontId="28" fillId="0" borderId="6" xfId="0" applyNumberFormat="1" applyFont="1" applyFill="1" applyBorder="1" applyAlignment="1">
      <alignment horizontal="center" vertical="center"/>
    </xf>
    <xf numFmtId="0" fontId="28" fillId="0" borderId="0" xfId="0" applyFont="1" applyAlignment="1">
      <alignment horizontal="left"/>
    </xf>
    <xf numFmtId="0" fontId="25" fillId="0" borderId="0" xfId="0" applyFont="1" applyAlignment="1">
      <alignment horizontal="center" vertical="center"/>
    </xf>
    <xf numFmtId="0" fontId="25" fillId="0" borderId="6" xfId="0" applyFont="1" applyBorder="1" applyAlignment="1">
      <alignment horizontal="center" vertical="center"/>
    </xf>
    <xf numFmtId="0" fontId="25" fillId="0" borderId="34" xfId="1" applyFont="1" applyBorder="1" applyAlignment="1">
      <alignment horizontal="left" vertical="center"/>
    </xf>
    <xf numFmtId="0" fontId="36" fillId="0" borderId="0" xfId="0" applyFont="1" applyAlignment="1">
      <alignment vertical="center"/>
    </xf>
    <xf numFmtId="0" fontId="28" fillId="0" borderId="0" xfId="0" applyFont="1" applyBorder="1" applyAlignment="1">
      <alignment horizontal="right" vertical="center"/>
    </xf>
    <xf numFmtId="1" fontId="28" fillId="0" borderId="0" xfId="0" applyNumberFormat="1" applyFont="1" applyFill="1" applyBorder="1" applyAlignment="1">
      <alignment horizontal="center" vertical="center"/>
    </xf>
    <xf numFmtId="0" fontId="38" fillId="0" borderId="0" xfId="0" applyFont="1" applyAlignment="1">
      <alignment horizontal="center" vertical="center"/>
    </xf>
    <xf numFmtId="0" fontId="35" fillId="0" borderId="0" xfId="0" applyFont="1"/>
    <xf numFmtId="0" fontId="25" fillId="0" borderId="0" xfId="0" applyFont="1"/>
    <xf numFmtId="0" fontId="25" fillId="0" borderId="6" xfId="0" applyFont="1" applyBorder="1" applyAlignment="1">
      <alignment horizontal="left" vertical="center"/>
    </xf>
    <xf numFmtId="0" fontId="2" fillId="0" borderId="0" xfId="0" applyFont="1" applyBorder="1" applyAlignment="1">
      <alignment horizontal="center" vertical="center"/>
    </xf>
    <xf numFmtId="0" fontId="1" fillId="0" borderId="0" xfId="1" applyFont="1" applyBorder="1" applyAlignment="1">
      <alignment horizontal="center"/>
    </xf>
    <xf numFmtId="0" fontId="28" fillId="0" borderId="0" xfId="1" applyFont="1" applyBorder="1" applyAlignment="1">
      <alignment horizontal="left" vertical="center"/>
    </xf>
    <xf numFmtId="0" fontId="40" fillId="0" borderId="6" xfId="1" applyFont="1" applyBorder="1" applyAlignment="1">
      <alignment horizontal="left" vertical="center"/>
    </xf>
    <xf numFmtId="0" fontId="42" fillId="0" borderId="6" xfId="1" applyFont="1" applyBorder="1" applyAlignment="1">
      <alignment horizontal="left" vertical="center"/>
    </xf>
    <xf numFmtId="0" fontId="20" fillId="0" borderId="0" xfId="0" applyFont="1" applyAlignment="1">
      <alignment vertical="center"/>
    </xf>
    <xf numFmtId="0" fontId="35" fillId="0" borderId="6" xfId="0" applyFont="1" applyBorder="1" applyAlignment="1">
      <alignment horizontal="left" vertical="center"/>
    </xf>
    <xf numFmtId="0" fontId="35" fillId="0" borderId="6" xfId="0" applyFont="1" applyBorder="1" applyAlignment="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28" xfId="0" applyFont="1" applyBorder="1" applyAlignment="1">
      <alignment horizontal="center" vertical="center"/>
    </xf>
    <xf numFmtId="0" fontId="35" fillId="0" borderId="86" xfId="0" applyFont="1" applyBorder="1" applyAlignment="1">
      <alignment horizontal="center" vertical="center"/>
    </xf>
    <xf numFmtId="0" fontId="35" fillId="0" borderId="77" xfId="0" applyFont="1" applyBorder="1" applyAlignment="1">
      <alignment horizontal="center" vertical="center"/>
    </xf>
    <xf numFmtId="0" fontId="35" fillId="0" borderId="78" xfId="0" applyFont="1" applyBorder="1" applyAlignment="1">
      <alignment horizontal="center" vertical="center"/>
    </xf>
    <xf numFmtId="0" fontId="35" fillId="0" borderId="0" xfId="0" applyFont="1" applyAlignment="1">
      <alignment vertical="center"/>
    </xf>
    <xf numFmtId="165" fontId="2" fillId="0" borderId="11" xfId="0" applyNumberFormat="1" applyFont="1" applyBorder="1" applyAlignment="1">
      <alignment horizontal="center" vertical="center"/>
    </xf>
    <xf numFmtId="167" fontId="2" fillId="0" borderId="7" xfId="0" applyNumberFormat="1" applyFont="1" applyBorder="1" applyAlignment="1">
      <alignment horizontal="center" vertical="center"/>
    </xf>
    <xf numFmtId="165" fontId="2" fillId="0" borderId="37" xfId="0" applyNumberFormat="1" applyFont="1" applyBorder="1" applyAlignment="1">
      <alignment horizontal="center" vertical="center"/>
    </xf>
    <xf numFmtId="165" fontId="2" fillId="0" borderId="8" xfId="0" applyNumberFormat="1" applyFont="1" applyBorder="1" applyAlignment="1">
      <alignment horizontal="center" vertical="center"/>
    </xf>
    <xf numFmtId="165" fontId="2" fillId="0" borderId="9" xfId="0" applyNumberFormat="1" applyFont="1" applyBorder="1" applyAlignment="1">
      <alignment horizontal="center" vertical="center"/>
    </xf>
    <xf numFmtId="165" fontId="2" fillId="0" borderId="12" xfId="0" applyNumberFormat="1" applyFont="1" applyBorder="1" applyAlignment="1">
      <alignment horizontal="center" vertical="center"/>
    </xf>
    <xf numFmtId="167" fontId="2" fillId="0" borderId="4" xfId="0" applyNumberFormat="1" applyFont="1" applyBorder="1" applyAlignment="1">
      <alignment horizontal="center" vertical="center"/>
    </xf>
    <xf numFmtId="165" fontId="2" fillId="0" borderId="10" xfId="0" applyNumberFormat="1" applyFont="1" applyBorder="1" applyAlignment="1">
      <alignment horizontal="center" vertical="center"/>
    </xf>
    <xf numFmtId="165" fontId="2" fillId="0" borderId="87" xfId="0" applyNumberFormat="1" applyFont="1" applyBorder="1" applyAlignment="1">
      <alignment horizontal="center" vertical="center"/>
    </xf>
    <xf numFmtId="0" fontId="0" fillId="0" borderId="11" xfId="0" applyBorder="1"/>
    <xf numFmtId="0" fontId="0" fillId="0" borderId="7" xfId="0" applyBorder="1"/>
    <xf numFmtId="0" fontId="0" fillId="0" borderId="37" xfId="0" applyBorder="1"/>
    <xf numFmtId="0" fontId="0" fillId="0" borderId="12" xfId="0" applyBorder="1"/>
    <xf numFmtId="0" fontId="0" fillId="0" borderId="10" xfId="0" applyBorder="1"/>
    <xf numFmtId="167" fontId="2" fillId="0" borderId="75" xfId="0" applyNumberFormat="1" applyFont="1" applyBorder="1" applyAlignment="1">
      <alignment horizontal="center" vertical="center"/>
    </xf>
    <xf numFmtId="167" fontId="2" fillId="0" borderId="72" xfId="0" applyNumberFormat="1" applyFont="1" applyBorder="1" applyAlignment="1">
      <alignment horizontal="center" vertical="center"/>
    </xf>
    <xf numFmtId="165" fontId="2" fillId="0" borderId="73" xfId="0" applyNumberFormat="1" applyFont="1" applyBorder="1" applyAlignment="1">
      <alignment horizontal="center" vertical="center"/>
    </xf>
    <xf numFmtId="167" fontId="2" fillId="0" borderId="48" xfId="0" applyNumberFormat="1" applyFont="1" applyBorder="1" applyAlignment="1">
      <alignment horizontal="center" vertical="center"/>
    </xf>
    <xf numFmtId="165" fontId="2" fillId="0" borderId="76" xfId="0" applyNumberFormat="1" applyFont="1" applyBorder="1" applyAlignment="1">
      <alignment horizontal="center" vertical="center"/>
    </xf>
    <xf numFmtId="0" fontId="51" fillId="0" borderId="0" xfId="0" applyFont="1" applyBorder="1" applyAlignment="1">
      <alignment horizontal="center" vertical="center"/>
    </xf>
    <xf numFmtId="0" fontId="0" fillId="0" borderId="48" xfId="0" applyBorder="1"/>
    <xf numFmtId="0" fontId="0" fillId="0" borderId="18" xfId="0" applyBorder="1"/>
    <xf numFmtId="0" fontId="0" fillId="0" borderId="19" xfId="0" applyBorder="1"/>
    <xf numFmtId="165" fontId="52" fillId="4" borderId="24" xfId="0" applyNumberFormat="1" applyFont="1" applyFill="1" applyBorder="1" applyAlignment="1">
      <alignment horizontal="center" vertical="center"/>
    </xf>
    <xf numFmtId="165" fontId="52" fillId="4" borderId="26" xfId="0" applyNumberFormat="1" applyFont="1" applyFill="1" applyBorder="1" applyAlignment="1">
      <alignment horizontal="center" vertical="center"/>
    </xf>
    <xf numFmtId="0" fontId="52" fillId="4" borderId="26" xfId="0" applyFont="1" applyFill="1" applyBorder="1" applyAlignment="1">
      <alignment horizontal="center" vertical="center"/>
    </xf>
    <xf numFmtId="165" fontId="53" fillId="4" borderId="26" xfId="1" applyNumberFormat="1" applyFont="1" applyFill="1" applyBorder="1" applyAlignment="1">
      <alignment horizontal="center" vertical="center"/>
    </xf>
    <xf numFmtId="165" fontId="52" fillId="4" borderId="25" xfId="0" applyNumberFormat="1" applyFont="1" applyFill="1" applyBorder="1" applyAlignment="1">
      <alignment horizontal="center" vertical="center"/>
    </xf>
    <xf numFmtId="165" fontId="2" fillId="0" borderId="80" xfId="0" applyNumberFormat="1" applyFont="1" applyBorder="1" applyAlignment="1">
      <alignment horizontal="center" vertical="center"/>
    </xf>
    <xf numFmtId="167" fontId="2" fillId="0" borderId="67" xfId="0" applyNumberFormat="1" applyFont="1" applyBorder="1" applyAlignment="1">
      <alignment horizontal="center" vertical="center"/>
    </xf>
    <xf numFmtId="0" fontId="0" fillId="0" borderId="73" xfId="0" applyBorder="1"/>
    <xf numFmtId="0" fontId="0" fillId="0" borderId="87" xfId="0" applyBorder="1"/>
    <xf numFmtId="0" fontId="0" fillId="0" borderId="80" xfId="0" applyBorder="1"/>
    <xf numFmtId="0" fontId="0" fillId="0" borderId="67" xfId="0" applyBorder="1"/>
    <xf numFmtId="0" fontId="0" fillId="0" borderId="76" xfId="0" applyBorder="1"/>
    <xf numFmtId="0" fontId="52" fillId="4" borderId="25" xfId="0" applyFont="1" applyFill="1" applyBorder="1" applyAlignment="1">
      <alignment horizontal="center" vertical="center"/>
    </xf>
    <xf numFmtId="165" fontId="52" fillId="5" borderId="24" xfId="0" applyNumberFormat="1" applyFont="1" applyFill="1" applyBorder="1" applyAlignment="1">
      <alignment horizontal="center" vertical="center"/>
    </xf>
    <xf numFmtId="165" fontId="52" fillId="5" borderId="26" xfId="0" applyNumberFormat="1" applyFont="1" applyFill="1" applyBorder="1" applyAlignment="1">
      <alignment horizontal="center" vertical="center"/>
    </xf>
    <xf numFmtId="165" fontId="52" fillId="5" borderId="25" xfId="0" applyNumberFormat="1" applyFont="1" applyFill="1" applyBorder="1" applyAlignment="1">
      <alignment horizontal="center" vertical="center"/>
    </xf>
    <xf numFmtId="0" fontId="35" fillId="0" borderId="55" xfId="0" applyFont="1" applyBorder="1" applyAlignment="1">
      <alignment horizontal="center" vertical="center"/>
    </xf>
    <xf numFmtId="165" fontId="25" fillId="0" borderId="37" xfId="1" applyNumberFormat="1" applyFont="1" applyFill="1" applyBorder="1" applyAlignment="1">
      <alignment horizontal="center" vertical="center"/>
    </xf>
    <xf numFmtId="165" fontId="25" fillId="0" borderId="9" xfId="1" applyNumberFormat="1" applyFont="1" applyFill="1" applyBorder="1" applyAlignment="1">
      <alignment horizontal="center" vertical="center"/>
    </xf>
    <xf numFmtId="165" fontId="25" fillId="0" borderId="9" xfId="1" applyNumberFormat="1" applyFont="1" applyBorder="1" applyAlignment="1">
      <alignment horizontal="center" vertical="center"/>
    </xf>
    <xf numFmtId="165" fontId="25" fillId="0" borderId="10" xfId="1" applyNumberFormat="1" applyFont="1" applyBorder="1" applyAlignment="1">
      <alignment horizontal="center" vertical="center"/>
    </xf>
    <xf numFmtId="0" fontId="0" fillId="0" borderId="24" xfId="0" applyBorder="1"/>
    <xf numFmtId="0" fontId="0" fillId="0" borderId="88" xfId="0" applyBorder="1"/>
    <xf numFmtId="0" fontId="0" fillId="0" borderId="89" xfId="0" applyBorder="1"/>
    <xf numFmtId="165" fontId="2" fillId="0" borderId="24" xfId="0" applyNumberFormat="1" applyFont="1" applyBorder="1" applyAlignment="1">
      <alignment horizontal="center" vertical="center"/>
    </xf>
    <xf numFmtId="167" fontId="2" fillId="0" borderId="88" xfId="0" applyNumberFormat="1" applyFont="1" applyBorder="1" applyAlignment="1">
      <alignment horizontal="center" vertical="center"/>
    </xf>
    <xf numFmtId="165" fontId="2" fillId="0" borderId="89" xfId="0" applyNumberFormat="1" applyFont="1" applyBorder="1" applyAlignment="1">
      <alignment horizontal="center" vertical="center"/>
    </xf>
    <xf numFmtId="0" fontId="32" fillId="2" borderId="55" xfId="0" applyFont="1" applyFill="1" applyBorder="1" applyAlignment="1">
      <alignment horizontal="center" vertical="center"/>
    </xf>
    <xf numFmtId="0" fontId="25" fillId="6" borderId="6" xfId="0" applyFont="1" applyFill="1" applyBorder="1" applyAlignment="1">
      <alignment horizontal="center" vertical="center"/>
    </xf>
    <xf numFmtId="0" fontId="27" fillId="0" borderId="0" xfId="0" applyFont="1" applyAlignment="1">
      <alignment horizontal="left" vertical="center"/>
    </xf>
    <xf numFmtId="2" fontId="28" fillId="0" borderId="56" xfId="0" applyNumberFormat="1" applyFont="1" applyBorder="1" applyAlignment="1">
      <alignment horizontal="center" vertical="center"/>
    </xf>
    <xf numFmtId="2" fontId="28" fillId="0" borderId="33" xfId="0" applyNumberFormat="1" applyFont="1" applyBorder="1" applyAlignment="1">
      <alignment horizontal="center" vertical="center"/>
    </xf>
    <xf numFmtId="0" fontId="25" fillId="0" borderId="0" xfId="0" applyFont="1" applyAlignment="1">
      <alignment horizontal="left" vertical="center"/>
    </xf>
    <xf numFmtId="0" fontId="25" fillId="0" borderId="34" xfId="0" applyFont="1" applyBorder="1" applyAlignment="1">
      <alignment horizontal="left" vertical="center"/>
    </xf>
    <xf numFmtId="0" fontId="28" fillId="0" borderId="0" xfId="0" applyFont="1" applyAlignment="1">
      <alignment horizontal="right" vertical="center"/>
    </xf>
    <xf numFmtId="0" fontId="4" fillId="0" borderId="0" xfId="0" applyFont="1" applyAlignment="1"/>
    <xf numFmtId="0" fontId="28" fillId="0" borderId="0" xfId="0" applyFont="1" applyAlignment="1">
      <alignment horizontal="right" vertical="center"/>
    </xf>
    <xf numFmtId="0" fontId="35" fillId="0" borderId="37" xfId="0" applyFont="1" applyBorder="1" applyAlignment="1">
      <alignment horizontal="center" vertical="center"/>
    </xf>
    <xf numFmtId="0" fontId="35" fillId="0" borderId="1" xfId="0" applyFont="1" applyBorder="1" applyAlignment="1">
      <alignment horizontal="center" vertical="center"/>
    </xf>
    <xf numFmtId="0" fontId="0" fillId="0" borderId="3" xfId="0" applyBorder="1"/>
    <xf numFmtId="0" fontId="0" fillId="0" borderId="54" xfId="0" applyBorder="1"/>
    <xf numFmtId="0" fontId="0" fillId="0" borderId="36" xfId="0" applyBorder="1"/>
    <xf numFmtId="0" fontId="48" fillId="0" borderId="27" xfId="1" applyFont="1" applyFill="1" applyBorder="1" applyAlignment="1">
      <alignment horizontal="center"/>
    </xf>
    <xf numFmtId="0" fontId="48" fillId="0" borderId="27" xfId="1" applyFont="1" applyBorder="1" applyAlignment="1">
      <alignment horizontal="center"/>
    </xf>
    <xf numFmtId="0" fontId="33" fillId="0" borderId="6" xfId="0" applyFont="1" applyBorder="1" applyAlignment="1">
      <alignment horizontal="center" vertical="center"/>
    </xf>
    <xf numFmtId="0" fontId="28" fillId="0" borderId="0" xfId="0" applyFont="1" applyAlignment="1">
      <alignment horizontal="left" vertical="center"/>
    </xf>
    <xf numFmtId="2" fontId="25" fillId="0" borderId="6" xfId="0" applyNumberFormat="1" applyFont="1" applyBorder="1" applyAlignment="1">
      <alignment horizontal="center" vertical="center"/>
    </xf>
    <xf numFmtId="0" fontId="59" fillId="0" borderId="0" xfId="0" applyFont="1" applyAlignment="1"/>
    <xf numFmtId="0" fontId="25" fillId="0" borderId="0" xfId="0" applyFont="1" applyAlignment="1">
      <alignment horizontal="right" vertical="center"/>
    </xf>
    <xf numFmtId="2" fontId="25" fillId="0" borderId="56" xfId="0" applyNumberFormat="1" applyFont="1" applyBorder="1" applyAlignment="1">
      <alignment horizontal="center" vertical="center"/>
    </xf>
    <xf numFmtId="0" fontId="34" fillId="0" borderId="6" xfId="0" applyFont="1" applyBorder="1" applyAlignment="1">
      <alignment horizontal="center" vertical="center"/>
    </xf>
    <xf numFmtId="165" fontId="25" fillId="0" borderId="6" xfId="0" applyNumberFormat="1" applyFont="1" applyBorder="1" applyAlignment="1">
      <alignment horizontal="center"/>
    </xf>
    <xf numFmtId="0" fontId="38" fillId="0" borderId="0" xfId="0" applyFont="1" applyBorder="1" applyAlignment="1">
      <alignment horizontal="right" vertical="center"/>
    </xf>
    <xf numFmtId="0" fontId="28" fillId="0" borderId="0" xfId="0" applyFont="1" applyBorder="1"/>
    <xf numFmtId="0" fontId="34" fillId="0" borderId="6" xfId="1" applyFont="1" applyFill="1" applyBorder="1" applyAlignment="1">
      <alignment horizontal="center" vertical="center"/>
    </xf>
    <xf numFmtId="0" fontId="28" fillId="0" borderId="6" xfId="0" applyFont="1" applyBorder="1" applyAlignment="1">
      <alignment horizontal="center" vertical="center"/>
    </xf>
    <xf numFmtId="0" fontId="40" fillId="0" borderId="6" xfId="1" applyFont="1" applyBorder="1" applyAlignment="1">
      <alignment horizontal="center" vertical="center"/>
    </xf>
    <xf numFmtId="0" fontId="28" fillId="0" borderId="6" xfId="0" applyFont="1" applyBorder="1" applyAlignment="1">
      <alignment vertical="center"/>
    </xf>
    <xf numFmtId="0" fontId="59" fillId="0" borderId="0" xfId="0" applyFont="1" applyAlignment="1">
      <alignment horizontal="right" vertical="center"/>
    </xf>
    <xf numFmtId="0" fontId="25" fillId="0" borderId="0" xfId="0" applyFont="1" applyBorder="1" applyAlignment="1">
      <alignment horizontal="left" vertical="center"/>
    </xf>
    <xf numFmtId="2" fontId="25" fillId="0" borderId="0" xfId="0" applyNumberFormat="1" applyFont="1" applyBorder="1" applyAlignment="1">
      <alignment horizontal="center" vertical="center"/>
    </xf>
    <xf numFmtId="0" fontId="32" fillId="0" borderId="0" xfId="0" applyFont="1" applyAlignment="1">
      <alignment horizontal="right" vertical="center"/>
    </xf>
    <xf numFmtId="0" fontId="38" fillId="0" borderId="0" xfId="0" applyFont="1" applyAlignment="1">
      <alignment vertical="center"/>
    </xf>
    <xf numFmtId="0" fontId="28" fillId="0" borderId="0" xfId="0" applyFont="1" applyBorder="1" applyAlignment="1">
      <alignment horizontal="left" vertical="center" wrapText="1"/>
    </xf>
    <xf numFmtId="0" fontId="28" fillId="0" borderId="48" xfId="0" applyFont="1" applyBorder="1" applyAlignment="1">
      <alignment horizontal="left" vertical="center" wrapText="1"/>
    </xf>
    <xf numFmtId="0" fontId="35" fillId="0" borderId="0" xfId="0" applyFont="1" applyFill="1" applyBorder="1" applyAlignment="1">
      <alignment horizontal="center" vertical="center"/>
    </xf>
    <xf numFmtId="165" fontId="2" fillId="0" borderId="0" xfId="0" applyNumberFormat="1" applyFont="1" applyFill="1" applyBorder="1" applyAlignment="1">
      <alignment horizontal="center" vertical="center"/>
    </xf>
    <xf numFmtId="167" fontId="2" fillId="0" borderId="0" xfId="0" applyNumberFormat="1" applyFont="1" applyFill="1" applyBorder="1" applyAlignment="1">
      <alignment horizontal="center" vertical="center"/>
    </xf>
    <xf numFmtId="0" fontId="0" fillId="0" borderId="0" xfId="0" applyFill="1" applyBorder="1"/>
    <xf numFmtId="0" fontId="35" fillId="0" borderId="1" xfId="0" applyFont="1" applyBorder="1" applyAlignment="1">
      <alignment horizontal="center" vertical="center" wrapText="1"/>
    </xf>
    <xf numFmtId="0" fontId="35" fillId="0" borderId="0" xfId="0" applyFont="1" applyFill="1" applyBorder="1" applyAlignment="1">
      <alignment horizontal="center" vertical="center" wrapText="1"/>
    </xf>
    <xf numFmtId="0" fontId="35" fillId="0" borderId="0" xfId="0" applyFont="1" applyAlignment="1">
      <alignment vertical="center" wrapText="1"/>
    </xf>
    <xf numFmtId="0" fontId="34" fillId="0" borderId="0" xfId="0" applyFont="1" applyFill="1" applyBorder="1" applyAlignment="1">
      <alignment vertical="center"/>
    </xf>
    <xf numFmtId="0" fontId="35" fillId="0" borderId="28" xfId="0" applyFont="1" applyBorder="1" applyAlignment="1">
      <alignment horizontal="center" vertical="center" wrapText="1"/>
    </xf>
    <xf numFmtId="0" fontId="35" fillId="0" borderId="30" xfId="0" applyFont="1" applyBorder="1" applyAlignment="1">
      <alignment horizontal="center" vertical="center" wrapText="1"/>
    </xf>
    <xf numFmtId="0" fontId="35" fillId="0" borderId="29" xfId="0" applyFont="1" applyBorder="1" applyAlignment="1">
      <alignment horizontal="center" vertical="center" wrapText="1"/>
    </xf>
    <xf numFmtId="165" fontId="2" fillId="0" borderId="9" xfId="0" applyNumberFormat="1" applyFont="1" applyFill="1" applyBorder="1" applyAlignment="1">
      <alignment horizontal="center" vertical="center"/>
    </xf>
    <xf numFmtId="164" fontId="2" fillId="0" borderId="6" xfId="0" applyNumberFormat="1" applyFont="1" applyBorder="1" applyAlignment="1">
      <alignment horizontal="center" vertical="center"/>
    </xf>
    <xf numFmtId="164" fontId="2" fillId="0" borderId="23" xfId="0" applyNumberFormat="1" applyFont="1" applyFill="1" applyBorder="1" applyAlignment="1">
      <alignment horizontal="center" vertical="center"/>
    </xf>
    <xf numFmtId="164" fontId="2" fillId="0" borderId="19" xfId="0" applyNumberFormat="1" applyFont="1" applyFill="1" applyBorder="1" applyAlignment="1">
      <alignment horizontal="center" vertical="center"/>
    </xf>
    <xf numFmtId="164" fontId="2" fillId="0" borderId="70" xfId="0" applyNumberFormat="1" applyFont="1" applyBorder="1" applyAlignment="1">
      <alignment horizontal="center" vertical="center"/>
    </xf>
    <xf numFmtId="164" fontId="2" fillId="0" borderId="71" xfId="0" applyNumberFormat="1" applyFont="1" applyBorder="1" applyAlignment="1">
      <alignment horizontal="center" vertical="center"/>
    </xf>
    <xf numFmtId="164" fontId="2" fillId="0" borderId="9" xfId="0" applyNumberFormat="1" applyFont="1" applyFill="1" applyBorder="1" applyAlignment="1">
      <alignment horizontal="center" vertical="center"/>
    </xf>
    <xf numFmtId="164" fontId="2" fillId="0" borderId="72" xfId="0" applyNumberFormat="1" applyFont="1" applyBorder="1" applyAlignment="1">
      <alignment horizontal="center" vertical="center"/>
    </xf>
    <xf numFmtId="164" fontId="2" fillId="0" borderId="87" xfId="0" applyNumberFormat="1" applyFont="1" applyFill="1" applyBorder="1" applyAlignment="1">
      <alignment horizontal="center" vertical="center"/>
    </xf>
    <xf numFmtId="164" fontId="2" fillId="0" borderId="50" xfId="0" applyNumberFormat="1" applyFont="1" applyBorder="1" applyAlignment="1">
      <alignment horizontal="center" vertical="center"/>
    </xf>
    <xf numFmtId="164" fontId="2" fillId="0" borderId="91" xfId="0" applyNumberFormat="1" applyFont="1" applyBorder="1" applyAlignment="1">
      <alignment horizontal="center" vertical="center"/>
    </xf>
    <xf numFmtId="164" fontId="2" fillId="0" borderId="92" xfId="0" applyNumberFormat="1" applyFont="1" applyBorder="1" applyAlignment="1">
      <alignment horizontal="center" vertical="center"/>
    </xf>
    <xf numFmtId="0" fontId="56" fillId="0" borderId="0" xfId="0" applyFont="1" applyBorder="1" applyAlignment="1"/>
    <xf numFmtId="0" fontId="55" fillId="0" borderId="8" xfId="0" applyFont="1" applyBorder="1" applyAlignment="1"/>
    <xf numFmtId="164" fontId="2" fillId="0" borderId="23" xfId="0" applyNumberFormat="1" applyFont="1" applyBorder="1" applyAlignment="1">
      <alignment horizontal="center" vertical="center"/>
    </xf>
    <xf numFmtId="0" fontId="48" fillId="0" borderId="74" xfId="1" applyFont="1" applyFill="1" applyBorder="1" applyAlignment="1">
      <alignment horizontal="center"/>
    </xf>
    <xf numFmtId="165" fontId="52" fillId="4" borderId="73" xfId="0" applyNumberFormat="1" applyFont="1" applyFill="1" applyBorder="1" applyAlignment="1">
      <alignment horizontal="center" vertical="center"/>
    </xf>
    <xf numFmtId="164" fontId="2" fillId="0" borderId="33" xfId="0" applyNumberFormat="1" applyFont="1" applyBorder="1" applyAlignment="1">
      <alignment horizontal="center" vertical="center"/>
    </xf>
    <xf numFmtId="164" fontId="2" fillId="0" borderId="32" xfId="0" applyNumberFormat="1" applyFont="1" applyBorder="1" applyAlignment="1">
      <alignment horizontal="center" vertical="center"/>
    </xf>
    <xf numFmtId="0" fontId="35" fillId="0" borderId="5" xfId="0" applyFont="1" applyBorder="1" applyAlignment="1">
      <alignment horizontal="center" vertical="center" wrapText="1"/>
    </xf>
    <xf numFmtId="165" fontId="25" fillId="0" borderId="0" xfId="1" applyNumberFormat="1" applyFont="1" applyFill="1" applyBorder="1" applyAlignment="1">
      <alignment horizontal="center" vertical="center"/>
    </xf>
    <xf numFmtId="0" fontId="34" fillId="0" borderId="0" xfId="0" applyFont="1" applyFill="1" applyBorder="1" applyAlignment="1">
      <alignment horizontal="center" vertical="center"/>
    </xf>
    <xf numFmtId="164" fontId="2" fillId="0" borderId="0" xfId="0" applyNumberFormat="1" applyFont="1" applyBorder="1" applyAlignment="1">
      <alignment horizontal="center" vertical="center"/>
    </xf>
    <xf numFmtId="164" fontId="2" fillId="0" borderId="10" xfId="0" applyNumberFormat="1" applyFont="1" applyBorder="1" applyAlignment="1">
      <alignment horizontal="center" vertical="center"/>
    </xf>
    <xf numFmtId="0" fontId="35" fillId="0" borderId="55" xfId="0" applyFont="1" applyBorder="1" applyAlignment="1">
      <alignment horizontal="center" vertical="center" wrapText="1"/>
    </xf>
    <xf numFmtId="164" fontId="2" fillId="0" borderId="13" xfId="0" applyNumberFormat="1" applyFont="1" applyBorder="1" applyAlignment="1">
      <alignment horizontal="center" vertical="center"/>
    </xf>
    <xf numFmtId="164" fontId="2" fillId="0" borderId="21" xfId="0" applyNumberFormat="1" applyFont="1" applyBorder="1" applyAlignment="1">
      <alignment horizontal="center" vertical="center"/>
    </xf>
    <xf numFmtId="164" fontId="2" fillId="0" borderId="56" xfId="0" applyNumberFormat="1" applyFont="1" applyBorder="1" applyAlignment="1">
      <alignment horizontal="center" vertical="center"/>
    </xf>
    <xf numFmtId="164" fontId="2" fillId="0" borderId="82" xfId="0" applyNumberFormat="1" applyFont="1" applyBorder="1" applyAlignment="1">
      <alignment horizontal="center" vertical="center"/>
    </xf>
    <xf numFmtId="165" fontId="52" fillId="4" borderId="15" xfId="0" applyNumberFormat="1" applyFont="1" applyFill="1" applyBorder="1" applyAlignment="1">
      <alignment horizontal="center" vertical="center"/>
    </xf>
    <xf numFmtId="165" fontId="52" fillId="4" borderId="27" xfId="0" applyNumberFormat="1" applyFont="1" applyFill="1" applyBorder="1" applyAlignment="1">
      <alignment horizontal="center" vertical="center"/>
    </xf>
    <xf numFmtId="0" fontId="52" fillId="4" borderId="81" xfId="0" applyFont="1" applyFill="1" applyBorder="1" applyAlignment="1">
      <alignment horizontal="center" vertical="center"/>
    </xf>
    <xf numFmtId="165" fontId="52" fillId="5" borderId="15" xfId="0" applyNumberFormat="1" applyFont="1" applyFill="1" applyBorder="1" applyAlignment="1">
      <alignment horizontal="center" vertical="center"/>
    </xf>
    <xf numFmtId="165" fontId="52" fillId="5" borderId="27" xfId="0" applyNumberFormat="1" applyFont="1" applyFill="1" applyBorder="1" applyAlignment="1">
      <alignment horizontal="center" vertical="center"/>
    </xf>
    <xf numFmtId="165" fontId="52" fillId="5" borderId="16" xfId="0" applyNumberFormat="1" applyFont="1" applyFill="1" applyBorder="1" applyAlignment="1">
      <alignment horizontal="center" vertical="center"/>
    </xf>
    <xf numFmtId="0" fontId="48" fillId="0" borderId="12" xfId="0" applyFont="1" applyFill="1" applyBorder="1" applyAlignment="1">
      <alignment vertical="center"/>
    </xf>
    <xf numFmtId="0" fontId="48" fillId="0" borderId="4" xfId="0" applyFont="1" applyFill="1" applyBorder="1" applyAlignment="1">
      <alignment vertical="center"/>
    </xf>
    <xf numFmtId="0" fontId="48" fillId="0" borderId="10" xfId="0" applyFont="1" applyFill="1" applyBorder="1" applyAlignment="1">
      <alignment vertical="center"/>
    </xf>
    <xf numFmtId="165" fontId="66" fillId="0" borderId="8" xfId="0" applyNumberFormat="1" applyFont="1" applyBorder="1" applyAlignment="1">
      <alignment vertical="center"/>
    </xf>
    <xf numFmtId="164" fontId="2" fillId="0" borderId="9" xfId="0" applyNumberFormat="1" applyFont="1" applyBorder="1" applyAlignment="1">
      <alignment horizontal="center" vertical="center"/>
    </xf>
    <xf numFmtId="165" fontId="66" fillId="0" borderId="12" xfId="0" applyNumberFormat="1" applyFont="1" applyBorder="1" applyAlignment="1">
      <alignment vertical="center"/>
    </xf>
    <xf numFmtId="164" fontId="2" fillId="0" borderId="4" xfId="0" applyNumberFormat="1" applyFont="1" applyBorder="1" applyAlignment="1">
      <alignment horizontal="center" vertical="center"/>
    </xf>
    <xf numFmtId="164" fontId="25" fillId="0" borderId="18" xfId="0" applyNumberFormat="1" applyFont="1" applyFill="1" applyBorder="1" applyAlignment="1">
      <alignment horizontal="center" vertical="center"/>
    </xf>
    <xf numFmtId="164" fontId="25" fillId="0" borderId="19" xfId="0" applyNumberFormat="1" applyFont="1" applyFill="1" applyBorder="1" applyAlignment="1">
      <alignment horizontal="center"/>
    </xf>
    <xf numFmtId="0" fontId="25" fillId="0" borderId="55" xfId="0" applyFont="1" applyBorder="1" applyAlignment="1">
      <alignment horizontal="center"/>
    </xf>
    <xf numFmtId="0" fontId="25" fillId="0" borderId="1" xfId="0" applyFont="1" applyBorder="1" applyAlignment="1">
      <alignment horizontal="center"/>
    </xf>
    <xf numFmtId="0" fontId="40" fillId="0" borderId="0" xfId="0" applyFont="1" applyAlignment="1">
      <alignment horizontal="right" vertical="center"/>
    </xf>
    <xf numFmtId="0" fontId="68" fillId="0" borderId="0" xfId="0" applyFont="1" applyAlignment="1">
      <alignment horizontal="right" vertical="center"/>
    </xf>
    <xf numFmtId="2" fontId="28" fillId="0" borderId="0" xfId="0" applyNumberFormat="1" applyFont="1" applyBorder="1" applyAlignment="1">
      <alignment horizontal="right" vertical="center"/>
    </xf>
    <xf numFmtId="2" fontId="33" fillId="0" borderId="0" xfId="0" applyNumberFormat="1" applyFont="1" applyBorder="1" applyAlignment="1">
      <alignment vertical="center"/>
    </xf>
    <xf numFmtId="2" fontId="28" fillId="0" borderId="0" xfId="0" applyNumberFormat="1" applyFont="1" applyBorder="1" applyAlignment="1"/>
    <xf numFmtId="2" fontId="28" fillId="0" borderId="0" xfId="0" applyNumberFormat="1" applyFont="1" applyBorder="1" applyAlignment="1">
      <alignment horizontal="right" vertical="center"/>
    </xf>
    <xf numFmtId="0" fontId="28" fillId="0" borderId="0" xfId="0" applyFont="1" applyFill="1" applyBorder="1" applyAlignment="1">
      <alignment horizontal="right" vertical="center"/>
    </xf>
    <xf numFmtId="0" fontId="28" fillId="0" borderId="0" xfId="0" applyFont="1" applyFill="1" applyBorder="1" applyAlignment="1">
      <alignment vertical="center"/>
    </xf>
    <xf numFmtId="0" fontId="33" fillId="0" borderId="0" xfId="0" applyFont="1" applyAlignment="1">
      <alignment horizontal="left" vertical="center"/>
    </xf>
    <xf numFmtId="0" fontId="38" fillId="0" borderId="0" xfId="0" applyFont="1" applyAlignment="1">
      <alignment horizontal="center" vertical="center"/>
    </xf>
    <xf numFmtId="0" fontId="32" fillId="0" borderId="0" xfId="0" applyFont="1" applyAlignment="1">
      <alignment vertical="center"/>
    </xf>
    <xf numFmtId="0" fontId="8" fillId="0" borderId="0" xfId="0" applyFont="1" applyAlignment="1">
      <alignment horizontal="right" vertical="center"/>
    </xf>
    <xf numFmtId="0" fontId="33" fillId="0" borderId="0" xfId="0" applyFont="1" applyAlignment="1">
      <alignment horizontal="right" vertical="center"/>
    </xf>
    <xf numFmtId="2" fontId="28" fillId="0" borderId="0" xfId="0" applyNumberFormat="1" applyFont="1" applyFill="1" applyBorder="1" applyAlignment="1">
      <alignment horizontal="center" vertical="center"/>
    </xf>
    <xf numFmtId="165" fontId="25" fillId="0" borderId="0" xfId="0" applyNumberFormat="1" applyFont="1" applyBorder="1" applyAlignment="1">
      <alignment horizontal="center"/>
    </xf>
    <xf numFmtId="0" fontId="19" fillId="0" borderId="0" xfId="0" applyFont="1" applyAlignment="1">
      <alignment horizontal="left" vertical="center"/>
    </xf>
    <xf numFmtId="0" fontId="32" fillId="0" borderId="0" xfId="0" applyFont="1" applyFill="1" applyAlignment="1">
      <alignment horizontal="center" vertical="center"/>
    </xf>
    <xf numFmtId="2" fontId="28" fillId="0" borderId="56" xfId="0" applyNumberFormat="1" applyFont="1" applyFill="1" applyBorder="1" applyAlignment="1">
      <alignment horizontal="center" vertical="center"/>
    </xf>
    <xf numFmtId="2" fontId="28" fillId="0" borderId="99" xfId="0" applyNumberFormat="1" applyFont="1" applyBorder="1" applyAlignment="1">
      <alignment horizontal="center" vertical="center"/>
    </xf>
    <xf numFmtId="2" fontId="33" fillId="0" borderId="62" xfId="0" applyNumberFormat="1" applyFont="1" applyBorder="1" applyAlignment="1">
      <alignment horizontal="center" vertical="center"/>
    </xf>
    <xf numFmtId="2" fontId="48" fillId="0" borderId="52" xfId="0" applyNumberFormat="1" applyFont="1" applyBorder="1" applyAlignment="1">
      <alignment horizontal="right" vertical="center"/>
    </xf>
    <xf numFmtId="2" fontId="48" fillId="0" borderId="52" xfId="0" applyNumberFormat="1" applyFont="1" applyBorder="1" applyAlignment="1">
      <alignment horizontal="center" vertical="center" wrapText="1"/>
    </xf>
    <xf numFmtId="2" fontId="34" fillId="0" borderId="52" xfId="0" applyNumberFormat="1" applyFont="1" applyFill="1" applyBorder="1" applyAlignment="1">
      <alignment horizontal="right" vertical="center" wrapText="1"/>
    </xf>
    <xf numFmtId="2" fontId="28" fillId="0" borderId="47" xfId="0" applyNumberFormat="1" applyFont="1" applyFill="1" applyBorder="1" applyAlignment="1">
      <alignment horizontal="center" vertical="center"/>
    </xf>
    <xf numFmtId="2" fontId="28" fillId="7" borderId="64" xfId="0" applyNumberFormat="1" applyFont="1" applyFill="1" applyBorder="1" applyAlignment="1">
      <alignment horizontal="center" vertical="center"/>
    </xf>
    <xf numFmtId="2" fontId="28" fillId="7" borderId="97" xfId="0" applyNumberFormat="1" applyFont="1" applyFill="1" applyBorder="1" applyAlignment="1">
      <alignment horizontal="center" vertical="center"/>
    </xf>
    <xf numFmtId="0" fontId="28" fillId="0" borderId="102" xfId="0" applyFont="1" applyBorder="1" applyAlignment="1">
      <alignment vertical="center"/>
    </xf>
    <xf numFmtId="0" fontId="33" fillId="0" borderId="103" xfId="0" applyFont="1" applyBorder="1" applyAlignment="1">
      <alignment horizontal="center" vertical="center"/>
    </xf>
    <xf numFmtId="0" fontId="33" fillId="0" borderId="104" xfId="0" applyFont="1" applyBorder="1" applyAlignment="1">
      <alignment horizontal="center" vertical="center"/>
    </xf>
    <xf numFmtId="0" fontId="33" fillId="7" borderId="105" xfId="0" applyFont="1" applyFill="1" applyBorder="1" applyAlignment="1">
      <alignment horizontal="center" vertical="center"/>
    </xf>
    <xf numFmtId="2" fontId="33" fillId="0" borderId="98" xfId="0" applyNumberFormat="1" applyFont="1" applyBorder="1" applyAlignment="1">
      <alignment horizontal="center" vertical="center"/>
    </xf>
    <xf numFmtId="0" fontId="7" fillId="2" borderId="6" xfId="1" applyFont="1" applyFill="1" applyBorder="1"/>
    <xf numFmtId="0" fontId="33" fillId="0" borderId="0" xfId="0" applyFont="1" applyBorder="1" applyAlignment="1">
      <alignment horizontal="right" vertical="center"/>
    </xf>
    <xf numFmtId="0" fontId="48" fillId="0" borderId="0" xfId="0" applyFont="1" applyFill="1" applyBorder="1" applyAlignment="1">
      <alignment horizontal="center" vertical="center"/>
    </xf>
    <xf numFmtId="0" fontId="48" fillId="0" borderId="42" xfId="0" applyFont="1" applyFill="1" applyBorder="1" applyAlignment="1">
      <alignment horizontal="center" vertical="center"/>
    </xf>
    <xf numFmtId="0" fontId="28" fillId="0" borderId="0" xfId="0" applyFont="1" applyAlignment="1">
      <alignment horizontal="right" vertical="center"/>
    </xf>
    <xf numFmtId="2" fontId="28" fillId="0" borderId="6" xfId="0" applyNumberFormat="1" applyFont="1" applyBorder="1" applyAlignment="1">
      <alignment horizontal="center" vertical="center"/>
    </xf>
    <xf numFmtId="2" fontId="28" fillId="0" borderId="42" xfId="0" applyNumberFormat="1" applyFont="1" applyBorder="1" applyAlignment="1">
      <alignment horizontal="center" vertical="center"/>
    </xf>
    <xf numFmtId="2" fontId="28" fillId="0" borderId="6" xfId="0" applyNumberFormat="1" applyFont="1" applyBorder="1" applyAlignment="1">
      <alignment horizontal="center" vertical="center"/>
    </xf>
    <xf numFmtId="2" fontId="28" fillId="0" borderId="47" xfId="0" applyNumberFormat="1" applyFont="1" applyBorder="1" applyAlignment="1">
      <alignment horizontal="center" vertical="center"/>
    </xf>
    <xf numFmtId="0" fontId="34" fillId="0" borderId="0" xfId="0" applyFont="1" applyBorder="1" applyAlignment="1">
      <alignment vertical="center" wrapText="1"/>
    </xf>
    <xf numFmtId="0" fontId="33" fillId="0" borderId="6" xfId="0" applyFont="1" applyBorder="1" applyAlignment="1">
      <alignment horizontal="center" vertical="center" wrapText="1"/>
    </xf>
    <xf numFmtId="2" fontId="34" fillId="7" borderId="63" xfId="0" applyNumberFormat="1" applyFont="1" applyFill="1" applyBorder="1" applyAlignment="1">
      <alignment horizontal="right" vertical="center" wrapText="1"/>
    </xf>
    <xf numFmtId="2" fontId="28" fillId="0" borderId="61" xfId="0" applyNumberFormat="1" applyFont="1" applyBorder="1" applyAlignment="1">
      <alignment horizontal="center" vertical="center"/>
    </xf>
    <xf numFmtId="2" fontId="28" fillId="0" borderId="62" xfId="0" applyNumberFormat="1" applyFont="1" applyBorder="1" applyAlignment="1">
      <alignment horizontal="center" vertical="center"/>
    </xf>
    <xf numFmtId="2" fontId="28" fillId="0" borderId="100" xfId="0" applyNumberFormat="1" applyFont="1" applyBorder="1" applyAlignment="1">
      <alignment horizontal="center" vertical="center"/>
    </xf>
    <xf numFmtId="2" fontId="28" fillId="0" borderId="52" xfId="0" applyNumberFormat="1" applyFont="1" applyBorder="1" applyAlignment="1">
      <alignment horizontal="center" vertical="center"/>
    </xf>
    <xf numFmtId="0" fontId="30" fillId="0" borderId="45" xfId="1" applyFont="1" applyFill="1" applyBorder="1" applyAlignment="1">
      <alignment horizontal="left" vertical="center"/>
    </xf>
    <xf numFmtId="0" fontId="30" fillId="0" borderId="42" xfId="1" applyFont="1" applyFill="1" applyBorder="1" applyAlignment="1">
      <alignment horizontal="left" vertical="center"/>
    </xf>
    <xf numFmtId="0" fontId="30" fillId="0" borderId="0" xfId="1" applyFont="1" applyFill="1" applyBorder="1" applyAlignment="1">
      <alignment horizontal="left" vertical="center"/>
    </xf>
    <xf numFmtId="164" fontId="28" fillId="0" borderId="6" xfId="0" applyNumberFormat="1" applyFont="1" applyFill="1" applyBorder="1" applyAlignment="1">
      <alignment horizontal="center" vertical="center"/>
    </xf>
    <xf numFmtId="0" fontId="28" fillId="0" borderId="0" xfId="0" applyFont="1" applyAlignment="1">
      <alignment horizontal="right" vertical="center"/>
    </xf>
    <xf numFmtId="0" fontId="11" fillId="0" borderId="40" xfId="1" applyFont="1" applyFill="1" applyBorder="1" applyAlignment="1">
      <alignment horizontal="center" vertical="center"/>
    </xf>
    <xf numFmtId="0" fontId="11" fillId="0" borderId="39" xfId="1" applyFont="1" applyFill="1" applyBorder="1" applyAlignment="1">
      <alignment horizontal="center" vertical="center"/>
    </xf>
    <xf numFmtId="0" fontId="6" fillId="0" borderId="38" xfId="1" applyFont="1" applyFill="1" applyBorder="1" applyAlignment="1">
      <alignment vertical="center"/>
    </xf>
    <xf numFmtId="0" fontId="6" fillId="0" borderId="0" xfId="0" applyFont="1" applyBorder="1" applyAlignment="1">
      <alignment horizontal="right" vertical="center"/>
    </xf>
    <xf numFmtId="0" fontId="76" fillId="0" borderId="0" xfId="0" applyFont="1" applyBorder="1" applyAlignment="1">
      <alignment horizontal="center" vertical="center" wrapText="1"/>
    </xf>
    <xf numFmtId="0" fontId="20" fillId="0" borderId="0" xfId="0" applyFont="1" applyBorder="1" applyAlignment="1">
      <alignment horizontal="left"/>
    </xf>
    <xf numFmtId="165" fontId="28" fillId="0" borderId="0" xfId="0" applyNumberFormat="1" applyFont="1" applyFill="1" applyBorder="1" applyAlignment="1">
      <alignment vertical="center"/>
    </xf>
    <xf numFmtId="165" fontId="31" fillId="0" borderId="0" xfId="0" applyNumberFormat="1" applyFont="1" applyFill="1" applyBorder="1" applyAlignment="1">
      <alignment horizontal="center" vertical="center"/>
    </xf>
    <xf numFmtId="0" fontId="28" fillId="0" borderId="14" xfId="0" applyFont="1" applyBorder="1" applyAlignment="1">
      <alignment horizontal="right" vertical="center" wrapText="1"/>
    </xf>
    <xf numFmtId="0" fontId="77" fillId="0" borderId="0" xfId="0" applyFont="1" applyAlignment="1">
      <alignment horizontal="left" vertical="center"/>
    </xf>
    <xf numFmtId="0" fontId="28" fillId="0" borderId="0" xfId="0" applyFont="1" applyBorder="1" applyAlignment="1">
      <alignment horizontal="right" vertical="center" wrapText="1"/>
    </xf>
    <xf numFmtId="0" fontId="36" fillId="0" borderId="0" xfId="0" applyFont="1" applyAlignment="1">
      <alignment horizontal="left" vertical="center"/>
    </xf>
    <xf numFmtId="165" fontId="28" fillId="0" borderId="48" xfId="0" applyNumberFormat="1" applyFont="1" applyFill="1" applyBorder="1" applyAlignment="1">
      <alignment horizontal="center" vertical="center"/>
    </xf>
    <xf numFmtId="0" fontId="56" fillId="0" borderId="4" xfId="0" applyFont="1" applyBorder="1" applyAlignment="1"/>
    <xf numFmtId="0" fontId="34" fillId="3" borderId="2" xfId="0" applyFont="1" applyFill="1" applyBorder="1" applyAlignment="1">
      <alignment horizontal="center" vertical="center"/>
    </xf>
    <xf numFmtId="0" fontId="28" fillId="0" borderId="0" xfId="0" applyFont="1" applyAlignment="1">
      <alignment horizontal="right" vertical="center"/>
    </xf>
    <xf numFmtId="2" fontId="28" fillId="0" borderId="0" xfId="0" applyNumberFormat="1" applyFont="1" applyBorder="1" applyAlignment="1">
      <alignment horizontal="right" vertical="center"/>
    </xf>
    <xf numFmtId="164" fontId="2" fillId="0" borderId="19" xfId="0" applyNumberFormat="1" applyFont="1" applyBorder="1" applyAlignment="1">
      <alignment horizontal="center" vertical="center"/>
    </xf>
    <xf numFmtId="0" fontId="32" fillId="0" borderId="0" xfId="0" applyFont="1" applyAlignment="1">
      <alignment horizontal="center" vertical="center"/>
    </xf>
    <xf numFmtId="0" fontId="35" fillId="0" borderId="7" xfId="0" applyFont="1" applyBorder="1" applyAlignment="1">
      <alignment horizontal="center" vertical="center"/>
    </xf>
    <xf numFmtId="165" fontId="2" fillId="0" borderId="7" xfId="0" applyNumberFormat="1" applyFont="1" applyBorder="1" applyAlignment="1">
      <alignment horizontal="center" vertical="center"/>
    </xf>
    <xf numFmtId="165" fontId="2" fillId="0" borderId="48" xfId="0" applyNumberFormat="1" applyFont="1" applyBorder="1" applyAlignment="1">
      <alignment horizontal="center" vertical="center"/>
    </xf>
    <xf numFmtId="165" fontId="2" fillId="0" borderId="42" xfId="0" applyNumberFormat="1" applyFont="1" applyBorder="1" applyAlignment="1">
      <alignment horizontal="center" vertical="center"/>
    </xf>
    <xf numFmtId="165" fontId="2" fillId="0" borderId="67" xfId="0" applyNumberFormat="1" applyFont="1" applyBorder="1" applyAlignment="1">
      <alignment horizontal="center" vertical="center"/>
    </xf>
    <xf numFmtId="165" fontId="2" fillId="0" borderId="4" xfId="0" applyNumberFormat="1" applyFont="1" applyBorder="1" applyAlignment="1">
      <alignment horizontal="center" vertical="center"/>
    </xf>
    <xf numFmtId="165" fontId="2" fillId="0" borderId="88" xfId="0" applyNumberFormat="1" applyFont="1" applyBorder="1" applyAlignment="1">
      <alignment horizontal="center" vertical="center"/>
    </xf>
    <xf numFmtId="0" fontId="35" fillId="4" borderId="109" xfId="0" applyFont="1" applyFill="1" applyBorder="1" applyAlignment="1">
      <alignment horizontal="center" vertical="center" wrapText="1"/>
    </xf>
    <xf numFmtId="165" fontId="2" fillId="0" borderId="35" xfId="0" applyNumberFormat="1" applyFont="1" applyBorder="1" applyAlignment="1">
      <alignment horizontal="center" vertical="center"/>
    </xf>
    <xf numFmtId="165" fontId="2" fillId="0" borderId="110" xfId="0" applyNumberFormat="1" applyFont="1" applyBorder="1" applyAlignment="1">
      <alignment horizontal="center" vertical="center"/>
    </xf>
    <xf numFmtId="9" fontId="28" fillId="0" borderId="0" xfId="0" applyNumberFormat="1" applyFont="1" applyBorder="1" applyAlignment="1">
      <alignment horizontal="center" vertical="center"/>
    </xf>
    <xf numFmtId="0" fontId="38" fillId="0" borderId="0" xfId="0" applyFont="1" applyBorder="1" applyAlignment="1">
      <alignment vertical="center"/>
    </xf>
    <xf numFmtId="2" fontId="35" fillId="0" borderId="0" xfId="0" applyNumberFormat="1" applyFont="1" applyBorder="1" applyAlignment="1">
      <alignment vertical="center" wrapText="1"/>
    </xf>
    <xf numFmtId="2" fontId="25" fillId="0" borderId="0" xfId="0" applyNumberFormat="1" applyFont="1" applyBorder="1" applyAlignment="1">
      <alignment horizontal="left" vertical="center" wrapText="1"/>
    </xf>
    <xf numFmtId="2" fontId="28" fillId="0" borderId="0" xfId="0" applyNumberFormat="1" applyFont="1" applyBorder="1" applyAlignment="1">
      <alignment vertical="center" wrapText="1"/>
    </xf>
    <xf numFmtId="0" fontId="54" fillId="0" borderId="0" xfId="0" applyFont="1" applyAlignment="1">
      <alignment vertical="center"/>
    </xf>
    <xf numFmtId="2" fontId="28" fillId="0" borderId="111" xfId="0" applyNumberFormat="1" applyFont="1" applyBorder="1" applyAlignment="1">
      <alignment horizontal="center" vertical="center"/>
    </xf>
    <xf numFmtId="2" fontId="28" fillId="0" borderId="6" xfId="0" applyNumberFormat="1" applyFont="1" applyBorder="1" applyAlignment="1">
      <alignment horizontal="center" vertical="center" wrapText="1"/>
    </xf>
    <xf numFmtId="0" fontId="54" fillId="0" borderId="6" xfId="0" applyFont="1" applyBorder="1" applyAlignment="1">
      <alignment horizontal="right" vertical="center"/>
    </xf>
    <xf numFmtId="2" fontId="28" fillId="0" borderId="6" xfId="0" applyNumberFormat="1" applyFont="1" applyFill="1" applyBorder="1" applyAlignment="1">
      <alignment horizontal="right" vertical="center" wrapText="1"/>
    </xf>
    <xf numFmtId="2" fontId="54" fillId="0" borderId="6" xfId="0" applyNumberFormat="1" applyFont="1" applyBorder="1" applyAlignment="1">
      <alignment horizontal="center" vertical="center"/>
    </xf>
    <xf numFmtId="2" fontId="28" fillId="7" borderId="68" xfId="0" applyNumberFormat="1" applyFont="1" applyFill="1" applyBorder="1" applyAlignment="1">
      <alignment horizontal="center" vertical="center"/>
    </xf>
    <xf numFmtId="0" fontId="28" fillId="0" borderId="0" xfId="0" applyFont="1" applyAlignment="1">
      <alignment horizontal="left" vertical="center"/>
    </xf>
    <xf numFmtId="2" fontId="28" fillId="0" borderId="6" xfId="0" applyNumberFormat="1" applyFont="1" applyFill="1" applyBorder="1" applyAlignment="1">
      <alignment horizontal="center" vertical="center"/>
    </xf>
    <xf numFmtId="0" fontId="65" fillId="0" borderId="0" xfId="0" applyFont="1" applyAlignment="1">
      <alignment vertical="center"/>
    </xf>
    <xf numFmtId="0" fontId="15" fillId="0" borderId="67" xfId="0" applyFont="1" applyBorder="1" applyAlignment="1">
      <alignment vertical="center"/>
    </xf>
    <xf numFmtId="173" fontId="28" fillId="0" borderId="6" xfId="0" applyNumberFormat="1" applyFont="1" applyFill="1" applyBorder="1" applyAlignment="1">
      <alignment horizontal="center" vertical="center"/>
    </xf>
    <xf numFmtId="2" fontId="28" fillId="0" borderId="106" xfId="0" applyNumberFormat="1" applyFont="1" applyBorder="1" applyAlignment="1">
      <alignment horizontal="center" vertical="center"/>
    </xf>
    <xf numFmtId="2" fontId="28" fillId="0" borderId="103" xfId="0" applyNumberFormat="1" applyFont="1" applyBorder="1" applyAlignment="1">
      <alignment horizontal="center" vertical="center"/>
    </xf>
    <xf numFmtId="0" fontId="33" fillId="0" borderId="106" xfId="0" applyFont="1" applyBorder="1" applyAlignment="1">
      <alignment horizontal="center" vertical="center"/>
    </xf>
    <xf numFmtId="0" fontId="33" fillId="0" borderId="105" xfId="0" applyFont="1" applyBorder="1" applyAlignment="1">
      <alignment horizontal="center" vertical="center"/>
    </xf>
    <xf numFmtId="0" fontId="30" fillId="0" borderId="42" xfId="1" applyFont="1" applyFill="1" applyBorder="1" applyAlignment="1">
      <alignment horizontal="center" vertical="center"/>
    </xf>
    <xf numFmtId="2" fontId="28" fillId="0" borderId="6" xfId="0" applyNumberFormat="1" applyFont="1" applyFill="1" applyBorder="1" applyAlignment="1">
      <alignment horizontal="center" vertical="center"/>
    </xf>
    <xf numFmtId="165" fontId="28" fillId="0" borderId="6" xfId="0" applyNumberFormat="1" applyFont="1" applyFill="1" applyBorder="1" applyAlignment="1">
      <alignment horizontal="center" vertical="center"/>
    </xf>
    <xf numFmtId="0" fontId="57" fillId="0" borderId="0" xfId="0" applyFont="1" applyBorder="1" applyAlignment="1">
      <alignment vertical="center" wrapText="1"/>
    </xf>
    <xf numFmtId="0" fontId="38" fillId="0" borderId="6" xfId="0" applyFont="1" applyBorder="1" applyAlignment="1">
      <alignment horizontal="right" vertical="center"/>
    </xf>
    <xf numFmtId="0" fontId="25" fillId="0" borderId="6" xfId="1" applyFont="1" applyFill="1" applyBorder="1" applyAlignment="1">
      <alignment horizontal="center" vertical="center"/>
    </xf>
    <xf numFmtId="0" fontId="38" fillId="0" borderId="0" xfId="1" applyFont="1" applyFill="1" applyBorder="1" applyAlignment="1">
      <alignment vertical="center"/>
    </xf>
    <xf numFmtId="0" fontId="54" fillId="0" borderId="0" xfId="1" applyFont="1" applyFill="1" applyBorder="1"/>
    <xf numFmtId="0" fontId="54" fillId="0" borderId="0" xfId="1" applyFont="1" applyFill="1" applyBorder="1" applyAlignment="1">
      <alignment vertical="center" wrapText="1"/>
    </xf>
    <xf numFmtId="0" fontId="54" fillId="0" borderId="0" xfId="1" applyFont="1" applyFill="1" applyBorder="1" applyAlignment="1">
      <alignment horizontal="right" vertical="center" wrapText="1"/>
    </xf>
    <xf numFmtId="165" fontId="84" fillId="0" borderId="0" xfId="1" applyNumberFormat="1" applyFont="1" applyFill="1" applyBorder="1" applyAlignment="1">
      <alignment horizontal="center" vertical="center"/>
    </xf>
    <xf numFmtId="2" fontId="54" fillId="0" borderId="40" xfId="1" applyNumberFormat="1" applyFont="1" applyFill="1" applyBorder="1" applyAlignment="1">
      <alignment horizontal="left" vertical="center" wrapText="1"/>
    </xf>
    <xf numFmtId="0" fontId="54" fillId="0" borderId="39" xfId="1" applyFont="1" applyFill="1" applyBorder="1"/>
    <xf numFmtId="0" fontId="54" fillId="0" borderId="6" xfId="1" applyFont="1" applyFill="1" applyBorder="1" applyAlignment="1">
      <alignment horizontal="center" vertical="center" wrapText="1"/>
    </xf>
    <xf numFmtId="0" fontId="54" fillId="0" borderId="6" xfId="1" applyFont="1" applyFill="1" applyBorder="1" applyAlignment="1">
      <alignment horizontal="center" vertical="center"/>
    </xf>
    <xf numFmtId="2" fontId="54" fillId="2" borderId="47" xfId="1" applyNumberFormat="1" applyFont="1" applyFill="1" applyBorder="1" applyAlignment="1">
      <alignment horizontal="center" vertical="center"/>
    </xf>
    <xf numFmtId="165" fontId="54" fillId="2" borderId="47" xfId="1" applyNumberFormat="1" applyFont="1" applyFill="1" applyBorder="1" applyAlignment="1">
      <alignment horizontal="center" vertical="center"/>
    </xf>
    <xf numFmtId="0" fontId="85" fillId="0" borderId="0" xfId="1" applyFont="1"/>
    <xf numFmtId="165" fontId="84" fillId="0" borderId="0" xfId="1" applyNumberFormat="1" applyFont="1" applyFill="1" applyBorder="1" applyAlignment="1" applyProtection="1">
      <alignment horizontal="center" vertical="center"/>
    </xf>
    <xf numFmtId="165" fontId="54" fillId="0" borderId="0" xfId="1" applyNumberFormat="1" applyFont="1" applyFill="1" applyBorder="1" applyAlignment="1" applyProtection="1">
      <alignment horizontal="left" vertical="center"/>
    </xf>
    <xf numFmtId="0" fontId="54" fillId="0" borderId="0" xfId="1" applyFont="1"/>
    <xf numFmtId="0" fontId="87" fillId="0" borderId="0" xfId="1" applyFont="1" applyAlignment="1">
      <alignment horizontal="right"/>
    </xf>
    <xf numFmtId="2" fontId="31" fillId="0" borderId="52" xfId="0" applyNumberFormat="1" applyFont="1" applyFill="1" applyBorder="1" applyAlignment="1">
      <alignment horizontal="center" vertical="center"/>
    </xf>
    <xf numFmtId="2" fontId="31" fillId="0" borderId="6" xfId="0" applyNumberFormat="1" applyFont="1" applyFill="1" applyBorder="1" applyAlignment="1">
      <alignment horizontal="center" vertical="center"/>
    </xf>
    <xf numFmtId="2" fontId="31" fillId="0" borderId="47" xfId="0" applyNumberFormat="1" applyFont="1" applyFill="1" applyBorder="1" applyAlignment="1">
      <alignment horizontal="center" vertical="center"/>
    </xf>
    <xf numFmtId="2" fontId="28" fillId="0" borderId="52" xfId="0" applyNumberFormat="1" applyFont="1" applyFill="1" applyBorder="1" applyAlignment="1">
      <alignment horizontal="center" vertical="center"/>
    </xf>
    <xf numFmtId="0" fontId="29" fillId="2" borderId="45" xfId="1" applyFont="1" applyFill="1" applyBorder="1" applyAlignment="1">
      <alignment horizontal="left" vertical="center"/>
    </xf>
    <xf numFmtId="0" fontId="90" fillId="0" borderId="44" xfId="1" applyFont="1" applyFill="1" applyBorder="1" applyAlignment="1">
      <alignment horizontal="center" vertical="center"/>
    </xf>
    <xf numFmtId="0" fontId="29" fillId="2" borderId="42" xfId="1" applyFont="1" applyFill="1" applyBorder="1" applyAlignment="1">
      <alignment horizontal="left" vertical="center"/>
    </xf>
    <xf numFmtId="0" fontId="28" fillId="0" borderId="41" xfId="1" applyFont="1" applyFill="1" applyBorder="1" applyAlignment="1">
      <alignment horizontal="center" vertical="center"/>
    </xf>
    <xf numFmtId="0" fontId="29" fillId="2" borderId="0" xfId="1" applyFont="1" applyFill="1" applyBorder="1" applyAlignment="1">
      <alignment horizontal="left" vertical="center"/>
    </xf>
    <xf numFmtId="0" fontId="31" fillId="0" borderId="42" xfId="1" applyFont="1" applyFill="1" applyBorder="1" applyAlignment="1">
      <alignment vertical="top" wrapText="1"/>
    </xf>
    <xf numFmtId="0" fontId="29" fillId="2" borderId="48" xfId="1" applyFont="1" applyFill="1" applyBorder="1" applyAlignment="1">
      <alignment horizontal="center" vertical="center"/>
    </xf>
    <xf numFmtId="167" fontId="28" fillId="0" borderId="56" xfId="0" applyNumberFormat="1" applyFont="1" applyFill="1" applyBorder="1" applyAlignment="1">
      <alignment horizontal="center" vertical="center"/>
    </xf>
    <xf numFmtId="0" fontId="57" fillId="0" borderId="71" xfId="0" applyFont="1" applyBorder="1" applyAlignment="1">
      <alignment vertical="center" wrapText="1"/>
    </xf>
    <xf numFmtId="0" fontId="78" fillId="0" borderId="0" xfId="0" applyFont="1" applyBorder="1" applyAlignment="1">
      <alignment vertical="center" wrapText="1"/>
    </xf>
    <xf numFmtId="2" fontId="82" fillId="0" borderId="71" xfId="0" applyNumberFormat="1" applyFont="1" applyBorder="1" applyAlignment="1">
      <alignment vertical="center" wrapText="1"/>
    </xf>
    <xf numFmtId="2" fontId="82" fillId="0" borderId="0" xfId="0" applyNumberFormat="1" applyFont="1" applyBorder="1" applyAlignment="1">
      <alignment vertical="center" wrapText="1"/>
    </xf>
    <xf numFmtId="2" fontId="28" fillId="0" borderId="6" xfId="0" applyNumberFormat="1" applyFont="1" applyFill="1" applyBorder="1" applyAlignment="1">
      <alignment horizontal="center" vertical="center" wrapText="1"/>
    </xf>
    <xf numFmtId="2" fontId="28" fillId="0" borderId="104" xfId="0" applyNumberFormat="1" applyFont="1" applyFill="1" applyBorder="1" applyAlignment="1">
      <alignment horizontal="center" vertical="center"/>
    </xf>
    <xf numFmtId="2" fontId="91" fillId="2" borderId="6" xfId="0" applyNumberFormat="1" applyFont="1" applyFill="1" applyBorder="1" applyAlignment="1">
      <alignment horizontal="center" vertical="center" wrapText="1"/>
    </xf>
    <xf numFmtId="0" fontId="92" fillId="0" borderId="0" xfId="1" applyFont="1"/>
    <xf numFmtId="0" fontId="74" fillId="0" borderId="0" xfId="1" applyFont="1"/>
    <xf numFmtId="0" fontId="5" fillId="0" borderId="0" xfId="1" applyFont="1"/>
    <xf numFmtId="0" fontId="54" fillId="0" borderId="0" xfId="0" applyFont="1" applyBorder="1" applyAlignment="1">
      <alignment vertical="center"/>
    </xf>
    <xf numFmtId="165" fontId="91" fillId="2" borderId="6" xfId="0" applyNumberFormat="1" applyFont="1" applyFill="1" applyBorder="1" applyAlignment="1">
      <alignment horizontal="center" vertical="center"/>
    </xf>
    <xf numFmtId="0" fontId="54" fillId="0" borderId="6" xfId="0" applyFont="1" applyBorder="1" applyAlignment="1">
      <alignment horizontal="right" vertical="center" wrapText="1"/>
    </xf>
    <xf numFmtId="167" fontId="91" fillId="2" borderId="56" xfId="0" applyNumberFormat="1" applyFont="1" applyFill="1" applyBorder="1" applyAlignment="1">
      <alignment horizontal="center" vertical="center"/>
    </xf>
    <xf numFmtId="0" fontId="5" fillId="0" borderId="6" xfId="0" applyFont="1" applyBorder="1" applyAlignment="1">
      <alignment horizontal="right" vertical="center"/>
    </xf>
    <xf numFmtId="0" fontId="94" fillId="0" borderId="0" xfId="1" applyFont="1" applyAlignment="1">
      <alignment horizontal="right"/>
    </xf>
    <xf numFmtId="0" fontId="94" fillId="0" borderId="0" xfId="1" applyFont="1"/>
    <xf numFmtId="0" fontId="12" fillId="0" borderId="34" xfId="0" applyFont="1" applyBorder="1" applyAlignment="1">
      <alignment horizontal="right" vertical="center"/>
    </xf>
    <xf numFmtId="2" fontId="12" fillId="0" borderId="6" xfId="0" applyNumberFormat="1" applyFont="1" applyBorder="1" applyAlignment="1">
      <alignment horizontal="right" vertical="center" wrapText="1"/>
    </xf>
    <xf numFmtId="0" fontId="79" fillId="0" borderId="0" xfId="0" applyFont="1" applyBorder="1" applyAlignment="1">
      <alignment wrapText="1"/>
    </xf>
    <xf numFmtId="0" fontId="17" fillId="0" borderId="0" xfId="0" applyFont="1" applyBorder="1" applyAlignment="1">
      <alignment horizontal="center" vertical="center" wrapText="1"/>
    </xf>
    <xf numFmtId="0" fontId="75" fillId="0" borderId="0" xfId="0" applyFont="1" applyBorder="1" applyAlignment="1">
      <alignment wrapText="1"/>
    </xf>
    <xf numFmtId="0" fontId="33" fillId="0" borderId="0" xfId="0" applyFont="1" applyAlignment="1">
      <alignment vertical="center" wrapText="1"/>
    </xf>
    <xf numFmtId="0" fontId="33" fillId="0" borderId="0" xfId="0" applyFont="1" applyFill="1" applyBorder="1" applyAlignment="1">
      <alignment vertical="center"/>
    </xf>
    <xf numFmtId="0" fontId="33" fillId="0" borderId="103" xfId="0" applyFont="1" applyFill="1" applyBorder="1" applyAlignment="1">
      <alignment horizontal="center" vertical="center"/>
    </xf>
    <xf numFmtId="2" fontId="28" fillId="0" borderId="103" xfId="0" applyNumberFormat="1" applyFont="1" applyFill="1" applyBorder="1" applyAlignment="1">
      <alignment horizontal="center" vertical="center"/>
    </xf>
    <xf numFmtId="0" fontId="33" fillId="0" borderId="104" xfId="0" applyFont="1" applyFill="1" applyBorder="1" applyAlignment="1">
      <alignment horizontal="center" vertical="center"/>
    </xf>
    <xf numFmtId="0" fontId="33" fillId="5" borderId="105" xfId="0" applyFont="1" applyFill="1" applyBorder="1" applyAlignment="1">
      <alignment horizontal="center" vertical="center"/>
    </xf>
    <xf numFmtId="2" fontId="28" fillId="5" borderId="105" xfId="0" applyNumberFormat="1" applyFont="1" applyFill="1" applyBorder="1" applyAlignment="1">
      <alignment horizontal="center" vertical="center"/>
    </xf>
    <xf numFmtId="0" fontId="38" fillId="0" borderId="6" xfId="0" applyFont="1" applyFill="1" applyBorder="1" applyAlignment="1">
      <alignment horizontal="right" vertical="center"/>
    </xf>
    <xf numFmtId="0" fontId="28" fillId="0" borderId="0" xfId="0" applyFont="1" applyBorder="1" applyAlignment="1">
      <alignment horizontal="center" wrapText="1"/>
    </xf>
    <xf numFmtId="0" fontId="34" fillId="0" borderId="18" xfId="0" applyFont="1" applyBorder="1" applyAlignment="1">
      <alignment horizontal="center" vertical="center"/>
    </xf>
    <xf numFmtId="0" fontId="34" fillId="0" borderId="19" xfId="0" applyFont="1" applyFill="1" applyBorder="1" applyAlignment="1">
      <alignment horizontal="center" vertical="center"/>
    </xf>
    <xf numFmtId="0" fontId="28" fillId="0" borderId="0" xfId="0" applyFont="1" applyAlignment="1">
      <alignment horizontal="right" vertical="center"/>
    </xf>
    <xf numFmtId="2" fontId="31" fillId="0" borderId="104" xfId="0" applyNumberFormat="1" applyFont="1" applyFill="1" applyBorder="1" applyAlignment="1">
      <alignment horizontal="center" vertical="center"/>
    </xf>
    <xf numFmtId="2" fontId="31" fillId="0" borderId="105" xfId="0" applyNumberFormat="1" applyFont="1" applyFill="1" applyBorder="1" applyAlignment="1">
      <alignment horizontal="center" vertical="center"/>
    </xf>
    <xf numFmtId="2" fontId="25" fillId="0" borderId="0" xfId="0" applyNumberFormat="1" applyFont="1" applyBorder="1" applyAlignment="1">
      <alignment vertical="center" wrapText="1"/>
    </xf>
    <xf numFmtId="0" fontId="38" fillId="0" borderId="6" xfId="0" applyFont="1" applyBorder="1" applyAlignment="1">
      <alignment horizontal="right" vertical="center"/>
    </xf>
    <xf numFmtId="0" fontId="28" fillId="0" borderId="0" xfId="0" applyFont="1" applyBorder="1" applyAlignment="1">
      <alignment horizontal="right" vertical="center" wrapText="1"/>
    </xf>
    <xf numFmtId="0" fontId="28" fillId="0" borderId="0" xfId="0" applyFont="1" applyAlignment="1">
      <alignment horizontal="right" vertical="center"/>
    </xf>
    <xf numFmtId="0" fontId="28" fillId="0" borderId="0" xfId="0" applyFont="1" applyBorder="1" applyAlignment="1">
      <alignment horizontal="right" vertical="center"/>
    </xf>
    <xf numFmtId="165" fontId="28" fillId="0" borderId="0" xfId="0" applyNumberFormat="1" applyFont="1" applyFill="1" applyBorder="1" applyAlignment="1">
      <alignment horizontal="center" vertical="center"/>
    </xf>
    <xf numFmtId="165" fontId="57" fillId="0" borderId="71" xfId="0" applyNumberFormat="1" applyFont="1" applyFill="1" applyBorder="1" applyAlignment="1">
      <alignment vertical="center" wrapText="1"/>
    </xf>
    <xf numFmtId="165" fontId="57" fillId="0" borderId="0" xfId="0" applyNumberFormat="1" applyFont="1" applyFill="1" applyBorder="1" applyAlignment="1">
      <alignment vertical="center" wrapText="1"/>
    </xf>
    <xf numFmtId="0" fontId="57" fillId="0" borderId="0" xfId="0" applyFont="1" applyAlignment="1">
      <alignment vertical="center"/>
    </xf>
    <xf numFmtId="0" fontId="54" fillId="0" borderId="6" xfId="0" applyFont="1" applyBorder="1" applyAlignment="1">
      <alignment horizontal="right" vertical="center"/>
    </xf>
    <xf numFmtId="0" fontId="33" fillId="0" borderId="90" xfId="0" applyFont="1" applyBorder="1" applyAlignment="1">
      <alignment horizontal="center" vertical="center"/>
    </xf>
    <xf numFmtId="0" fontId="28" fillId="0" borderId="0" xfId="0" applyFont="1" applyBorder="1" applyAlignment="1">
      <alignment horizontal="left" vertical="center"/>
    </xf>
    <xf numFmtId="2" fontId="28" fillId="0" borderId="6" xfId="0" applyNumberFormat="1" applyFont="1" applyFill="1" applyBorder="1" applyAlignment="1">
      <alignment horizontal="center" vertical="center"/>
    </xf>
    <xf numFmtId="2" fontId="34" fillId="0" borderId="52" xfId="0" applyNumberFormat="1" applyFont="1" applyBorder="1" applyAlignment="1">
      <alignment horizontal="center" vertical="center"/>
    </xf>
    <xf numFmtId="2" fontId="34" fillId="0" borderId="52" xfId="0" applyNumberFormat="1" applyFont="1" applyBorder="1" applyAlignment="1">
      <alignment horizontal="center" vertical="center" wrapText="1"/>
    </xf>
    <xf numFmtId="2" fontId="28" fillId="9" borderId="6" xfId="0" applyNumberFormat="1" applyFont="1" applyFill="1" applyBorder="1" applyAlignment="1">
      <alignment horizontal="center" vertical="center"/>
    </xf>
    <xf numFmtId="2" fontId="28" fillId="9" borderId="47" xfId="0" applyNumberFormat="1" applyFont="1" applyFill="1" applyBorder="1" applyAlignment="1">
      <alignment horizontal="center" vertical="center"/>
    </xf>
    <xf numFmtId="2" fontId="28" fillId="0" borderId="114" xfId="0" applyNumberFormat="1" applyFont="1" applyBorder="1" applyAlignment="1">
      <alignment horizontal="center" vertical="center"/>
    </xf>
    <xf numFmtId="2" fontId="28" fillId="0" borderId="35" xfId="0" applyNumberFormat="1" applyFont="1" applyBorder="1" applyAlignment="1">
      <alignment horizontal="center" vertical="center"/>
    </xf>
    <xf numFmtId="2" fontId="31" fillId="0" borderId="35" xfId="0" applyNumberFormat="1" applyFont="1" applyFill="1" applyBorder="1" applyAlignment="1">
      <alignment horizontal="center" vertical="center"/>
    </xf>
    <xf numFmtId="2" fontId="28" fillId="0" borderId="35" xfId="0" applyNumberFormat="1" applyFont="1" applyFill="1" applyBorder="1" applyAlignment="1">
      <alignment horizontal="center" vertical="center"/>
    </xf>
    <xf numFmtId="2" fontId="31" fillId="0" borderId="42" xfId="0" applyNumberFormat="1" applyFont="1" applyFill="1" applyBorder="1" applyAlignment="1">
      <alignment horizontal="center" vertical="center"/>
    </xf>
    <xf numFmtId="2" fontId="28" fillId="7" borderId="112" xfId="0" applyNumberFormat="1" applyFont="1" applyFill="1" applyBorder="1" applyAlignment="1">
      <alignment horizontal="center" vertical="center"/>
    </xf>
    <xf numFmtId="2" fontId="28" fillId="7" borderId="63" xfId="0" applyNumberFormat="1" applyFont="1" applyFill="1" applyBorder="1" applyAlignment="1">
      <alignment horizontal="center" vertical="center"/>
    </xf>
    <xf numFmtId="0" fontId="76" fillId="0" borderId="0" xfId="0" applyFont="1" applyBorder="1" applyAlignment="1">
      <alignment vertical="center" wrapText="1"/>
    </xf>
    <xf numFmtId="0" fontId="54" fillId="0" borderId="6" xfId="0" applyFont="1" applyBorder="1" applyAlignment="1">
      <alignment horizontal="right" vertical="center"/>
    </xf>
    <xf numFmtId="2" fontId="28" fillId="0" borderId="6" xfId="0" applyNumberFormat="1" applyFont="1" applyFill="1" applyBorder="1" applyAlignment="1">
      <alignment horizontal="center" vertical="center"/>
    </xf>
    <xf numFmtId="0" fontId="54" fillId="0" borderId="0" xfId="0" applyFont="1" applyBorder="1" applyAlignment="1">
      <alignment horizontal="left" vertical="center" wrapText="1"/>
    </xf>
    <xf numFmtId="0" fontId="32" fillId="0" borderId="6" xfId="1" applyFont="1" applyBorder="1" applyAlignment="1">
      <alignment vertical="center" wrapText="1"/>
    </xf>
    <xf numFmtId="0" fontId="33" fillId="0" borderId="29" xfId="1" applyFont="1" applyBorder="1" applyAlignment="1">
      <alignment horizontal="center" vertical="center"/>
    </xf>
    <xf numFmtId="0" fontId="32" fillId="0" borderId="56" xfId="1" applyFont="1" applyBorder="1" applyAlignment="1">
      <alignment horizontal="center" vertical="center" wrapText="1"/>
    </xf>
    <xf numFmtId="0" fontId="32" fillId="0" borderId="0" xfId="1" applyFont="1" applyBorder="1" applyAlignment="1">
      <alignment horizontal="center" vertical="center"/>
    </xf>
    <xf numFmtId="0" fontId="28" fillId="0" borderId="0" xfId="0" applyFont="1" applyBorder="1" applyAlignment="1">
      <alignment horizontal="right" vertical="top" wrapText="1"/>
    </xf>
    <xf numFmtId="2" fontId="91" fillId="0" borderId="0" xfId="0" applyNumberFormat="1" applyFont="1" applyFill="1" applyBorder="1" applyAlignment="1">
      <alignment horizontal="center" vertical="center"/>
    </xf>
    <xf numFmtId="0" fontId="54" fillId="0" borderId="35" xfId="0" applyFont="1" applyBorder="1" applyAlignment="1">
      <alignment horizontal="right" vertical="center"/>
    </xf>
    <xf numFmtId="0" fontId="18" fillId="0" borderId="0" xfId="1" applyFont="1" applyAlignment="1">
      <alignment horizontal="right" vertical="center"/>
    </xf>
    <xf numFmtId="2" fontId="28" fillId="0" borderId="90" xfId="0" applyNumberFormat="1" applyFont="1" applyFill="1" applyBorder="1" applyAlignment="1">
      <alignment horizontal="center" vertical="center"/>
    </xf>
    <xf numFmtId="2" fontId="106" fillId="0" borderId="6" xfId="1" applyNumberFormat="1" applyFont="1" applyBorder="1" applyAlignment="1">
      <alignment horizontal="center" vertical="center"/>
    </xf>
    <xf numFmtId="2" fontId="13" fillId="3" borderId="32" xfId="1" applyNumberFormat="1" applyFill="1" applyBorder="1" applyAlignment="1">
      <alignment horizontal="center" vertical="center"/>
    </xf>
    <xf numFmtId="2" fontId="13" fillId="3" borderId="23" xfId="1" applyNumberFormat="1" applyFill="1" applyBorder="1" applyAlignment="1">
      <alignment horizontal="center" vertical="center"/>
    </xf>
    <xf numFmtId="2" fontId="13" fillId="3" borderId="19" xfId="1" applyNumberFormat="1" applyFill="1" applyBorder="1" applyAlignment="1">
      <alignment horizontal="center" vertical="center"/>
    </xf>
    <xf numFmtId="2" fontId="13" fillId="3" borderId="21" xfId="1" applyNumberFormat="1" applyFill="1" applyBorder="1" applyAlignment="1">
      <alignment horizontal="center" vertical="center"/>
    </xf>
    <xf numFmtId="0" fontId="34" fillId="0" borderId="0" xfId="0" applyFont="1" applyFill="1" applyBorder="1" applyAlignment="1">
      <alignment horizontal="center" vertical="center"/>
    </xf>
    <xf numFmtId="2" fontId="28" fillId="0" borderId="6" xfId="0" applyNumberFormat="1" applyFont="1" applyFill="1" applyBorder="1" applyAlignment="1">
      <alignment horizontal="center" vertical="center"/>
    </xf>
    <xf numFmtId="0" fontId="38" fillId="0" borderId="0" xfId="0" applyFont="1" applyAlignment="1">
      <alignment horizontal="center" vertical="center"/>
    </xf>
    <xf numFmtId="0" fontId="18" fillId="0" borderId="0" xfId="0" applyFont="1" applyFill="1" applyBorder="1" applyAlignment="1"/>
    <xf numFmtId="0" fontId="32" fillId="0" borderId="0" xfId="0" applyFont="1" applyFill="1" applyBorder="1" applyAlignment="1">
      <alignment vertical="center"/>
    </xf>
    <xf numFmtId="0" fontId="34" fillId="0" borderId="0" xfId="0" applyFont="1" applyBorder="1" applyAlignment="1">
      <alignment horizontal="center" vertical="center"/>
    </xf>
    <xf numFmtId="0" fontId="32" fillId="0" borderId="0" xfId="1" applyFont="1" applyBorder="1" applyAlignment="1">
      <alignment vertical="center" wrapText="1"/>
    </xf>
    <xf numFmtId="0" fontId="54" fillId="0" borderId="0" xfId="1" applyFont="1" applyBorder="1" applyAlignment="1">
      <alignment horizontal="left" vertical="center" wrapText="1"/>
    </xf>
    <xf numFmtId="2" fontId="106" fillId="0" borderId="0" xfId="1" applyNumberFormat="1" applyFont="1" applyBorder="1" applyAlignment="1">
      <alignment horizontal="center" vertical="center"/>
    </xf>
    <xf numFmtId="2" fontId="28" fillId="0" borderId="0" xfId="0" applyNumberFormat="1" applyFont="1" applyFill="1" applyBorder="1" applyAlignment="1">
      <alignment vertical="center"/>
    </xf>
    <xf numFmtId="2" fontId="28" fillId="0" borderId="0" xfId="0" applyNumberFormat="1" applyFont="1" applyFill="1" applyBorder="1" applyAlignment="1">
      <alignment horizontal="right" vertical="center" wrapText="1"/>
    </xf>
    <xf numFmtId="2" fontId="28" fillId="0" borderId="0" xfId="0" applyNumberFormat="1" applyFont="1" applyBorder="1" applyAlignment="1">
      <alignment horizontal="center" vertical="center" wrapText="1"/>
    </xf>
    <xf numFmtId="0" fontId="54" fillId="0" borderId="0" xfId="0" applyFont="1" applyBorder="1" applyAlignment="1">
      <alignment horizontal="right" vertical="center"/>
    </xf>
    <xf numFmtId="2" fontId="54" fillId="0" borderId="0" xfId="0" applyNumberFormat="1" applyFont="1" applyBorder="1" applyAlignment="1">
      <alignment horizontal="center" vertical="center"/>
    </xf>
    <xf numFmtId="0" fontId="28" fillId="0" borderId="0" xfId="0" applyFont="1" applyFill="1" applyAlignment="1">
      <alignment vertical="center" wrapText="1"/>
    </xf>
    <xf numFmtId="2" fontId="33" fillId="0" borderId="6" xfId="0" applyNumberFormat="1" applyFont="1" applyFill="1" applyBorder="1" applyAlignment="1">
      <alignment horizontal="center" vertical="center"/>
    </xf>
    <xf numFmtId="0" fontId="33" fillId="0" borderId="6" xfId="0" applyFont="1" applyFill="1" applyBorder="1" applyAlignment="1">
      <alignment horizontal="center" vertical="center"/>
    </xf>
    <xf numFmtId="0" fontId="33" fillId="0" borderId="6" xfId="0" applyFont="1" applyFill="1" applyBorder="1" applyAlignment="1">
      <alignment horizontal="center" vertical="center" wrapText="1"/>
    </xf>
    <xf numFmtId="172" fontId="28" fillId="0" borderId="6" xfId="0" applyNumberFormat="1" applyFont="1" applyFill="1" applyBorder="1" applyAlignment="1">
      <alignment horizontal="center" vertical="center"/>
    </xf>
    <xf numFmtId="0" fontId="68" fillId="0" borderId="6" xfId="0" applyFont="1" applyBorder="1" applyAlignment="1">
      <alignment horizontal="center" vertical="center"/>
    </xf>
    <xf numFmtId="0" fontId="68" fillId="0" borderId="22" xfId="0" applyFont="1" applyBorder="1" applyAlignment="1">
      <alignment horizontal="center" vertical="center"/>
    </xf>
    <xf numFmtId="1" fontId="6" fillId="0" borderId="6" xfId="0" applyNumberFormat="1" applyFont="1" applyBorder="1" applyAlignment="1">
      <alignment horizontal="center" vertical="center"/>
    </xf>
    <xf numFmtId="165" fontId="6" fillId="10" borderId="6" xfId="0" applyNumberFormat="1" applyFont="1" applyFill="1" applyBorder="1" applyAlignment="1">
      <alignment horizontal="center" vertical="center"/>
    </xf>
    <xf numFmtId="1" fontId="6" fillId="0" borderId="23" xfId="0" applyNumberFormat="1" applyFont="1" applyFill="1" applyBorder="1" applyAlignment="1">
      <alignment horizontal="center" vertical="center"/>
    </xf>
    <xf numFmtId="165" fontId="6" fillId="0" borderId="119" xfId="0" applyNumberFormat="1" applyFont="1" applyBorder="1"/>
    <xf numFmtId="0" fontId="107" fillId="0" borderId="0" xfId="0" applyFont="1" applyBorder="1"/>
    <xf numFmtId="0" fontId="109" fillId="0" borderId="33" xfId="0" applyFont="1" applyBorder="1" applyAlignment="1">
      <alignment horizontal="center" vertical="center" wrapText="1"/>
    </xf>
    <xf numFmtId="0" fontId="110" fillId="0" borderId="0" xfId="0" applyFont="1" applyBorder="1" applyAlignment="1">
      <alignment vertical="center"/>
    </xf>
    <xf numFmtId="165" fontId="6" fillId="0" borderId="6" xfId="0" applyNumberFormat="1" applyFont="1" applyFill="1" applyBorder="1" applyAlignment="1">
      <alignment horizontal="center" vertical="center"/>
    </xf>
    <xf numFmtId="171" fontId="8" fillId="0" borderId="0" xfId="0" applyNumberFormat="1" applyFont="1" applyBorder="1" applyAlignment="1">
      <alignment horizontal="center" vertical="center"/>
    </xf>
    <xf numFmtId="0" fontId="111" fillId="0" borderId="0" xfId="0" applyFont="1" applyBorder="1" applyAlignment="1">
      <alignment vertical="center"/>
    </xf>
    <xf numFmtId="2" fontId="6" fillId="0" borderId="6" xfId="0" applyNumberFormat="1" applyFont="1" applyBorder="1" applyAlignment="1">
      <alignment horizontal="center" vertical="center"/>
    </xf>
    <xf numFmtId="0" fontId="28" fillId="0" borderId="65" xfId="0" applyFont="1" applyBorder="1" applyAlignment="1">
      <alignment vertical="center"/>
    </xf>
    <xf numFmtId="0" fontId="28" fillId="0" borderId="66" xfId="0" applyFont="1" applyBorder="1" applyAlignment="1">
      <alignment vertical="center"/>
    </xf>
    <xf numFmtId="0" fontId="28" fillId="0" borderId="69" xfId="0" applyFont="1" applyBorder="1" applyAlignment="1">
      <alignment vertical="center"/>
    </xf>
    <xf numFmtId="2" fontId="33" fillId="0" borderId="33" xfId="0" applyNumberFormat="1" applyFont="1" applyBorder="1" applyAlignment="1">
      <alignment horizontal="center" vertical="center"/>
    </xf>
    <xf numFmtId="2" fontId="33" fillId="0" borderId="33" xfId="0" applyNumberFormat="1" applyFont="1" applyFill="1" applyBorder="1" applyAlignment="1">
      <alignment horizontal="center" vertical="center"/>
    </xf>
    <xf numFmtId="0" fontId="33" fillId="0" borderId="33" xfId="0" applyFont="1" applyFill="1" applyBorder="1" applyAlignment="1">
      <alignment horizontal="center" vertical="center"/>
    </xf>
    <xf numFmtId="0" fontId="33" fillId="0" borderId="72" xfId="0" applyFont="1" applyFill="1" applyBorder="1" applyAlignment="1">
      <alignment horizontal="center" vertical="center"/>
    </xf>
    <xf numFmtId="2" fontId="28" fillId="9" borderId="34" xfId="0" applyNumberFormat="1" applyFont="1" applyFill="1" applyBorder="1" applyAlignment="1">
      <alignment horizontal="center" vertical="center"/>
    </xf>
    <xf numFmtId="2" fontId="28" fillId="0" borderId="34" xfId="0" applyNumberFormat="1" applyFont="1" applyFill="1" applyBorder="1" applyAlignment="1">
      <alignment horizontal="center" vertical="center"/>
    </xf>
    <xf numFmtId="2" fontId="28" fillId="0" borderId="34" xfId="0" applyNumberFormat="1" applyFont="1" applyBorder="1" applyAlignment="1">
      <alignment horizontal="center" vertical="center"/>
    </xf>
    <xf numFmtId="0" fontId="33" fillId="0" borderId="100" xfId="0" applyFont="1" applyFill="1" applyBorder="1" applyAlignment="1">
      <alignment horizontal="center" vertical="center" wrapText="1"/>
    </xf>
    <xf numFmtId="0" fontId="28" fillId="0" borderId="41" xfId="0" applyFont="1" applyBorder="1" applyAlignment="1">
      <alignment vertical="center"/>
    </xf>
    <xf numFmtId="0" fontId="28" fillId="0" borderId="122" xfId="0" applyFont="1" applyBorder="1" applyAlignment="1">
      <alignment vertical="center"/>
    </xf>
    <xf numFmtId="2" fontId="33" fillId="0" borderId="123" xfId="0" applyNumberFormat="1" applyFont="1" applyBorder="1" applyAlignment="1">
      <alignment horizontal="center" vertical="center"/>
    </xf>
    <xf numFmtId="0" fontId="33" fillId="0" borderId="101" xfId="0" applyFont="1" applyFill="1" applyBorder="1" applyAlignment="1">
      <alignment horizontal="center" vertical="center" wrapText="1"/>
    </xf>
    <xf numFmtId="2" fontId="28" fillId="0" borderId="124" xfId="0" applyNumberFormat="1" applyFont="1" applyBorder="1" applyAlignment="1">
      <alignment horizontal="center" vertical="center"/>
    </xf>
    <xf numFmtId="2" fontId="31" fillId="0" borderId="34" xfId="0" applyNumberFormat="1" applyFont="1" applyFill="1" applyBorder="1" applyAlignment="1">
      <alignment horizontal="center" vertical="center"/>
    </xf>
    <xf numFmtId="0" fontId="28" fillId="0" borderId="48" xfId="0" applyFont="1" applyFill="1" applyBorder="1" applyAlignment="1">
      <alignment vertical="center"/>
    </xf>
    <xf numFmtId="0" fontId="53" fillId="0" borderId="42" xfId="1" applyFont="1" applyFill="1" applyBorder="1" applyAlignment="1">
      <alignment vertical="center" wrapText="1"/>
    </xf>
    <xf numFmtId="0" fontId="28" fillId="0" borderId="0" xfId="0" applyFont="1" applyAlignment="1">
      <alignment horizontal="center" vertical="center"/>
    </xf>
    <xf numFmtId="0" fontId="112" fillId="0" borderId="0" xfId="0" applyFont="1" applyFill="1" applyBorder="1" applyAlignment="1">
      <alignment vertical="center"/>
    </xf>
    <xf numFmtId="0" fontId="68" fillId="0" borderId="0" xfId="0" applyFont="1" applyFill="1" applyBorder="1" applyAlignment="1">
      <alignment horizontal="right" vertical="center" wrapText="1"/>
    </xf>
    <xf numFmtId="0" fontId="114" fillId="0" borderId="8" xfId="0" applyFont="1" applyBorder="1" applyAlignment="1">
      <alignment horizontal="center" vertical="center"/>
    </xf>
    <xf numFmtId="0" fontId="115" fillId="0" borderId="9" xfId="0" applyFont="1" applyBorder="1" applyAlignment="1">
      <alignment horizontal="center" vertical="center"/>
    </xf>
    <xf numFmtId="174" fontId="114" fillId="0" borderId="9" xfId="0" applyNumberFormat="1" applyFont="1" applyBorder="1" applyAlignment="1">
      <alignment horizontal="center" vertical="center"/>
    </xf>
    <xf numFmtId="0" fontId="114" fillId="0" borderId="12" xfId="0" applyFont="1" applyBorder="1" applyAlignment="1">
      <alignment horizontal="center" vertical="center"/>
    </xf>
    <xf numFmtId="174" fontId="114" fillId="0" borderId="10" xfId="0" applyNumberFormat="1" applyFont="1" applyBorder="1" applyAlignment="1">
      <alignment horizontal="center" vertical="center"/>
    </xf>
    <xf numFmtId="0" fontId="28" fillId="0" borderId="6" xfId="0" applyFont="1" applyBorder="1" applyAlignment="1">
      <alignment horizontal="center" vertical="center"/>
    </xf>
    <xf numFmtId="2" fontId="28" fillId="0" borderId="6" xfId="0" applyNumberFormat="1" applyFont="1" applyBorder="1" applyAlignment="1">
      <alignment horizontal="center" vertical="center"/>
    </xf>
    <xf numFmtId="2" fontId="28" fillId="0" borderId="6" xfId="0" applyNumberFormat="1" applyFont="1" applyFill="1" applyBorder="1" applyAlignment="1">
      <alignment horizontal="center" vertical="center"/>
    </xf>
    <xf numFmtId="0" fontId="28" fillId="0" borderId="0" xfId="0" applyFont="1" applyAlignment="1">
      <alignment horizontal="left" vertical="center"/>
    </xf>
    <xf numFmtId="0" fontId="28" fillId="0" borderId="0" xfId="0" applyFont="1" applyBorder="1" applyAlignment="1">
      <alignment horizontal="right" vertical="center" wrapText="1"/>
    </xf>
    <xf numFmtId="0" fontId="30" fillId="0" borderId="48" xfId="1" applyFont="1" applyFill="1" applyBorder="1" applyAlignment="1">
      <alignment horizontal="center" vertical="center"/>
    </xf>
    <xf numFmtId="0" fontId="28" fillId="0" borderId="84" xfId="0" applyFont="1" applyBorder="1" applyAlignment="1">
      <alignment vertical="center"/>
    </xf>
    <xf numFmtId="1" fontId="91" fillId="2" borderId="6" xfId="0" applyNumberFormat="1" applyFont="1" applyFill="1" applyBorder="1" applyAlignment="1">
      <alignment horizontal="center" vertical="center" wrapText="1"/>
    </xf>
    <xf numFmtId="0" fontId="15" fillId="0" borderId="0" xfId="0" applyFont="1" applyAlignment="1">
      <alignment horizontal="left" vertical="center"/>
    </xf>
    <xf numFmtId="2" fontId="48" fillId="0" borderId="52" xfId="0" applyNumberFormat="1" applyFont="1" applyBorder="1" applyAlignment="1">
      <alignment horizontal="right" vertical="center" wrapText="1"/>
    </xf>
    <xf numFmtId="2" fontId="28" fillId="0" borderId="6" xfId="0" applyNumberFormat="1" applyFont="1" applyBorder="1" applyAlignment="1">
      <alignment horizontal="right" wrapText="1"/>
    </xf>
    <xf numFmtId="0" fontId="68" fillId="0" borderId="17" xfId="0" applyFont="1" applyBorder="1" applyAlignment="1">
      <alignment horizontal="center" vertical="center"/>
    </xf>
    <xf numFmtId="2" fontId="6" fillId="0" borderId="18" xfId="0" applyNumberFormat="1" applyFont="1" applyBorder="1" applyAlignment="1">
      <alignment horizontal="center" vertical="center"/>
    </xf>
    <xf numFmtId="165" fontId="6" fillId="0" borderId="18" xfId="0" applyNumberFormat="1" applyFont="1" applyFill="1" applyBorder="1" applyAlignment="1">
      <alignment horizontal="center" vertical="center"/>
    </xf>
    <xf numFmtId="1" fontId="6" fillId="0" borderId="19" xfId="0" applyNumberFormat="1" applyFont="1" applyFill="1" applyBorder="1" applyAlignment="1">
      <alignment horizontal="center" vertical="center"/>
    </xf>
    <xf numFmtId="0" fontId="32" fillId="0" borderId="56" xfId="1" applyFont="1" applyBorder="1" applyAlignment="1">
      <alignment horizontal="center" vertical="center"/>
    </xf>
    <xf numFmtId="0" fontId="32" fillId="0" borderId="60" xfId="1" applyFont="1" applyBorder="1" applyAlignment="1">
      <alignment horizontal="center" vertical="center"/>
    </xf>
    <xf numFmtId="0" fontId="32" fillId="0" borderId="33" xfId="1" applyFont="1" applyBorder="1" applyAlignment="1">
      <alignment horizontal="center" vertical="center"/>
    </xf>
    <xf numFmtId="2" fontId="54" fillId="2" borderId="6" xfId="1" applyNumberFormat="1" applyFont="1" applyFill="1" applyBorder="1" applyAlignment="1">
      <alignment horizontal="center" vertical="center" wrapText="1"/>
    </xf>
    <xf numFmtId="2" fontId="54" fillId="2" borderId="47" xfId="1" applyNumberFormat="1" applyFont="1" applyFill="1" applyBorder="1" applyAlignment="1">
      <alignment horizontal="center" vertical="center" wrapText="1"/>
    </xf>
    <xf numFmtId="0" fontId="54" fillId="0" borderId="6" xfId="0" applyFont="1" applyBorder="1" applyAlignment="1">
      <alignment horizontal="left" vertical="center" wrapText="1"/>
    </xf>
    <xf numFmtId="0" fontId="54" fillId="2" borderId="34" xfId="1" applyFont="1" applyFill="1" applyBorder="1" applyAlignment="1">
      <alignment horizontal="center" vertical="center"/>
    </xf>
    <xf numFmtId="0" fontId="54" fillId="2" borderId="67" xfId="1" applyFont="1" applyFill="1" applyBorder="1" applyAlignment="1">
      <alignment horizontal="center" vertical="center"/>
    </xf>
    <xf numFmtId="0" fontId="54" fillId="2" borderId="85" xfId="1" applyFont="1" applyFill="1" applyBorder="1" applyAlignment="1">
      <alignment horizontal="center" vertical="center"/>
    </xf>
    <xf numFmtId="9" fontId="54" fillId="2" borderId="68" xfId="1" applyNumberFormat="1" applyFont="1" applyFill="1" applyBorder="1" applyAlignment="1">
      <alignment horizontal="center"/>
    </xf>
    <xf numFmtId="9" fontId="54" fillId="2" borderId="69" xfId="1" applyNumberFormat="1" applyFont="1" applyFill="1" applyBorder="1" applyAlignment="1">
      <alignment horizontal="center"/>
    </xf>
    <xf numFmtId="0" fontId="105" fillId="0" borderId="117" xfId="1" applyFont="1" applyBorder="1" applyAlignment="1">
      <alignment horizontal="right" vertical="center"/>
    </xf>
    <xf numFmtId="0" fontId="105" fillId="0" borderId="113" xfId="1" applyFont="1" applyBorder="1" applyAlignment="1">
      <alignment horizontal="right" vertical="center"/>
    </xf>
    <xf numFmtId="9" fontId="85" fillId="2" borderId="6" xfId="1" applyNumberFormat="1" applyFont="1" applyFill="1" applyBorder="1" applyAlignment="1">
      <alignment horizontal="center" vertical="center"/>
    </xf>
    <xf numFmtId="9" fontId="85" fillId="2" borderId="47" xfId="1" applyNumberFormat="1" applyFont="1" applyFill="1" applyBorder="1" applyAlignment="1">
      <alignment horizontal="center" vertical="center"/>
    </xf>
    <xf numFmtId="0" fontId="54" fillId="0" borderId="52" xfId="1" applyFont="1" applyBorder="1" applyAlignment="1">
      <alignment horizontal="right" vertical="center"/>
    </xf>
    <xf numFmtId="0" fontId="54" fillId="0" borderId="6" xfId="1" applyFont="1" applyBorder="1" applyAlignment="1">
      <alignment horizontal="right" vertical="center"/>
    </xf>
    <xf numFmtId="0" fontId="28" fillId="0" borderId="6" xfId="0" applyFont="1" applyBorder="1" applyAlignment="1">
      <alignment horizontal="right" vertical="top" wrapText="1"/>
    </xf>
    <xf numFmtId="2" fontId="91" fillId="2" borderId="6" xfId="0" applyNumberFormat="1" applyFont="1" applyFill="1" applyBorder="1" applyAlignment="1">
      <alignment horizontal="center" vertical="center"/>
    </xf>
    <xf numFmtId="0" fontId="101" fillId="0" borderId="48" xfId="1" applyFont="1" applyBorder="1" applyAlignment="1">
      <alignment horizontal="center" vertical="center"/>
    </xf>
    <xf numFmtId="0" fontId="54" fillId="0" borderId="52" xfId="1" applyFont="1" applyFill="1" applyBorder="1" applyAlignment="1">
      <alignment horizontal="right"/>
    </xf>
    <xf numFmtId="0" fontId="54" fillId="0" borderId="6" xfId="1" applyFont="1" applyFill="1" applyBorder="1" applyAlignment="1">
      <alignment horizontal="right"/>
    </xf>
    <xf numFmtId="0" fontId="54" fillId="2" borderId="42" xfId="1" applyFont="1" applyFill="1" applyBorder="1" applyAlignment="1">
      <alignment horizontal="center" vertical="center"/>
    </xf>
    <xf numFmtId="0" fontId="54" fillId="2" borderId="66" xfId="1" applyFont="1" applyFill="1" applyBorder="1" applyAlignment="1">
      <alignment horizontal="center" vertical="center"/>
    </xf>
    <xf numFmtId="2" fontId="54" fillId="2" borderId="56" xfId="1" applyNumberFormat="1" applyFont="1" applyFill="1" applyBorder="1" applyAlignment="1">
      <alignment horizontal="center"/>
    </xf>
    <xf numFmtId="2" fontId="54" fillId="2" borderId="107" xfId="1" applyNumberFormat="1" applyFont="1" applyFill="1" applyBorder="1" applyAlignment="1">
      <alignment horizontal="center"/>
    </xf>
    <xf numFmtId="2" fontId="54" fillId="2" borderId="34" xfId="1" applyNumberFormat="1" applyFont="1" applyFill="1" applyBorder="1" applyAlignment="1">
      <alignment horizontal="center" vertical="center" wrapText="1"/>
    </xf>
    <xf numFmtId="2" fontId="54" fillId="2" borderId="66" xfId="1" applyNumberFormat="1" applyFont="1" applyFill="1" applyBorder="1" applyAlignment="1">
      <alignment horizontal="center" vertical="center" wrapText="1"/>
    </xf>
    <xf numFmtId="0" fontId="54" fillId="0" borderId="90" xfId="1" applyFont="1" applyFill="1" applyBorder="1" applyAlignment="1">
      <alignment horizontal="right" vertical="center" wrapText="1"/>
    </xf>
    <xf numFmtId="0" fontId="54" fillId="0" borderId="35" xfId="1" applyFont="1" applyFill="1" applyBorder="1" applyAlignment="1">
      <alignment horizontal="right" vertical="center" wrapText="1"/>
    </xf>
    <xf numFmtId="0" fontId="32" fillId="0" borderId="56" xfId="1" applyFont="1" applyBorder="1" applyAlignment="1">
      <alignment horizontal="right" vertical="center" wrapText="1"/>
    </xf>
    <xf numFmtId="0" fontId="32" fillId="0" borderId="60" xfId="1" applyFont="1" applyBorder="1" applyAlignment="1">
      <alignment horizontal="right" vertical="center" wrapText="1"/>
    </xf>
    <xf numFmtId="0" fontId="32" fillId="0" borderId="33" xfId="1" applyFont="1" applyBorder="1" applyAlignment="1">
      <alignment horizontal="right" vertical="center" wrapText="1"/>
    </xf>
    <xf numFmtId="164" fontId="91" fillId="2" borderId="6" xfId="0" applyNumberFormat="1" applyFont="1" applyFill="1" applyBorder="1" applyAlignment="1">
      <alignment horizontal="center" vertical="center"/>
    </xf>
    <xf numFmtId="0" fontId="54" fillId="0" borderId="6" xfId="0" applyFont="1" applyBorder="1" applyAlignment="1">
      <alignment horizontal="right" vertical="center"/>
    </xf>
    <xf numFmtId="0" fontId="54" fillId="0" borderId="49" xfId="1" applyFont="1" applyFill="1" applyBorder="1" applyAlignment="1">
      <alignment horizontal="right" vertical="center"/>
    </xf>
    <xf numFmtId="0" fontId="54" fillId="0" borderId="50" xfId="0" applyFont="1" applyBorder="1"/>
    <xf numFmtId="0" fontId="54" fillId="0" borderId="43" xfId="0" applyFont="1" applyBorder="1"/>
    <xf numFmtId="0" fontId="54" fillId="0" borderId="14" xfId="0" applyFont="1" applyBorder="1"/>
    <xf numFmtId="0" fontId="29" fillId="2" borderId="53" xfId="1" applyFont="1" applyFill="1" applyBorder="1" applyAlignment="1">
      <alignment horizontal="center" vertical="center"/>
    </xf>
    <xf numFmtId="0" fontId="30" fillId="0" borderId="42" xfId="1" applyFont="1" applyFill="1" applyBorder="1" applyAlignment="1">
      <alignment horizontal="center" vertical="center"/>
    </xf>
    <xf numFmtId="14" fontId="29" fillId="2" borderId="42" xfId="1" applyNumberFormat="1" applyFont="1" applyFill="1" applyBorder="1" applyAlignment="1">
      <alignment horizontal="center" vertical="center"/>
    </xf>
    <xf numFmtId="0" fontId="13" fillId="0" borderId="46" xfId="1" applyBorder="1" applyAlignment="1">
      <alignment horizontal="center"/>
    </xf>
    <xf numFmtId="0" fontId="13" fillId="0" borderId="45" xfId="1" applyBorder="1" applyAlignment="1">
      <alignment horizontal="center"/>
    </xf>
    <xf numFmtId="0" fontId="13" fillId="0" borderId="44" xfId="1" applyBorder="1" applyAlignment="1">
      <alignment horizontal="center"/>
    </xf>
    <xf numFmtId="0" fontId="13" fillId="0" borderId="43" xfId="1" applyBorder="1" applyAlignment="1">
      <alignment horizontal="center"/>
    </xf>
    <xf numFmtId="0" fontId="13" fillId="0" borderId="0" xfId="1" applyBorder="1" applyAlignment="1">
      <alignment horizontal="center"/>
    </xf>
    <xf numFmtId="0" fontId="13" fillId="0" borderId="41" xfId="1" applyBorder="1" applyAlignment="1">
      <alignment horizontal="center"/>
    </xf>
    <xf numFmtId="0" fontId="13" fillId="0" borderId="40" xfId="1" applyBorder="1" applyAlignment="1">
      <alignment horizontal="center"/>
    </xf>
    <xf numFmtId="0" fontId="13" fillId="0" borderId="39" xfId="1" applyBorder="1" applyAlignment="1">
      <alignment horizontal="center"/>
    </xf>
    <xf numFmtId="0" fontId="13" fillId="0" borderId="38" xfId="1" applyBorder="1" applyAlignment="1">
      <alignment horizontal="center"/>
    </xf>
    <xf numFmtId="0" fontId="89" fillId="0" borderId="0" xfId="1" applyFont="1" applyFill="1" applyBorder="1" applyAlignment="1">
      <alignment horizontal="center" vertical="center" wrapText="1"/>
    </xf>
    <xf numFmtId="0" fontId="28" fillId="0" borderId="39" xfId="1" applyFont="1" applyFill="1" applyBorder="1" applyAlignment="1">
      <alignment horizontal="right" vertical="center"/>
    </xf>
    <xf numFmtId="0" fontId="89" fillId="0" borderId="46" xfId="1" applyFont="1" applyFill="1" applyBorder="1" applyAlignment="1">
      <alignment horizontal="center" vertical="center"/>
    </xf>
    <xf numFmtId="0" fontId="89" fillId="0" borderId="45" xfId="1" applyFont="1" applyFill="1" applyBorder="1" applyAlignment="1">
      <alignment horizontal="center" vertical="center"/>
    </xf>
    <xf numFmtId="0" fontId="89" fillId="0" borderId="44" xfId="1" applyFont="1" applyFill="1" applyBorder="1" applyAlignment="1">
      <alignment horizontal="center" vertical="center"/>
    </xf>
    <xf numFmtId="0" fontId="54" fillId="2" borderId="70" xfId="1" applyFont="1" applyFill="1" applyBorder="1" applyAlignment="1">
      <alignment horizontal="center" vertical="center"/>
    </xf>
    <xf numFmtId="0" fontId="26" fillId="0" borderId="45" xfId="1" applyFont="1" applyBorder="1" applyAlignment="1">
      <alignment horizontal="left" vertical="center" wrapText="1"/>
    </xf>
    <xf numFmtId="0" fontId="25" fillId="0" borderId="45" xfId="1" applyFont="1" applyBorder="1" applyAlignment="1">
      <alignment horizontal="left" vertical="center" wrapText="1"/>
    </xf>
    <xf numFmtId="0" fontId="54" fillId="0" borderId="108" xfId="1" applyFont="1" applyFill="1" applyBorder="1" applyAlignment="1">
      <alignment horizontal="right" vertical="center"/>
    </xf>
    <xf numFmtId="0" fontId="54" fillId="0" borderId="33" xfId="1" applyFont="1" applyFill="1" applyBorder="1" applyAlignment="1">
      <alignment horizontal="right" vertical="center"/>
    </xf>
    <xf numFmtId="0" fontId="54" fillId="2" borderId="71" xfId="1" applyFont="1" applyFill="1" applyBorder="1" applyAlignment="1">
      <alignment horizontal="center" vertical="center"/>
    </xf>
    <xf numFmtId="0" fontId="54" fillId="2" borderId="0" xfId="1" applyFont="1" applyFill="1" applyBorder="1" applyAlignment="1">
      <alignment horizontal="center" vertical="center"/>
    </xf>
    <xf numFmtId="0" fontId="54" fillId="2" borderId="41" xfId="1" applyFont="1" applyFill="1" applyBorder="1" applyAlignment="1">
      <alignment horizontal="center" vertical="center"/>
    </xf>
    <xf numFmtId="0" fontId="34" fillId="0" borderId="46" xfId="1" applyFont="1" applyFill="1" applyBorder="1" applyAlignment="1">
      <alignment horizontal="left" vertical="center" wrapText="1"/>
    </xf>
    <xf numFmtId="0" fontId="34" fillId="0" borderId="45" xfId="1" applyFont="1" applyFill="1" applyBorder="1" applyAlignment="1">
      <alignment horizontal="left" vertical="center" wrapText="1"/>
    </xf>
    <xf numFmtId="0" fontId="34" fillId="0" borderId="43" xfId="1" applyFont="1" applyFill="1" applyBorder="1" applyAlignment="1">
      <alignment horizontal="left" vertical="center" wrapText="1"/>
    </xf>
    <xf numFmtId="0" fontId="34" fillId="0" borderId="0" xfId="1" applyFont="1" applyFill="1" applyBorder="1" applyAlignment="1">
      <alignment horizontal="left" vertical="center" wrapText="1"/>
    </xf>
    <xf numFmtId="0" fontId="88" fillId="0" borderId="0" xfId="0" applyFont="1" applyBorder="1" applyAlignment="1">
      <alignment horizontal="center" vertical="center" wrapText="1"/>
    </xf>
    <xf numFmtId="0" fontId="54" fillId="0" borderId="0" xfId="0" applyFont="1" applyBorder="1" applyAlignment="1">
      <alignment horizontal="left" vertical="top" wrapText="1"/>
    </xf>
    <xf numFmtId="0" fontId="54" fillId="0" borderId="0" xfId="0" applyFont="1" applyBorder="1" applyAlignment="1">
      <alignment horizontal="center" wrapText="1"/>
    </xf>
    <xf numFmtId="0" fontId="54" fillId="0" borderId="90" xfId="1" applyFont="1" applyFill="1" applyBorder="1" applyAlignment="1">
      <alignment horizontal="right" vertical="center"/>
    </xf>
    <xf numFmtId="0" fontId="54" fillId="0" borderId="35" xfId="1" applyFont="1" applyFill="1" applyBorder="1" applyAlignment="1">
      <alignment horizontal="right" vertical="center"/>
    </xf>
    <xf numFmtId="0" fontId="33" fillId="0" borderId="90" xfId="0" applyFont="1" applyBorder="1" applyAlignment="1">
      <alignment horizontal="right" vertical="center"/>
    </xf>
    <xf numFmtId="0" fontId="33" fillId="0" borderId="35" xfId="0" applyFont="1" applyBorder="1" applyAlignment="1">
      <alignment horizontal="right" vertical="center"/>
    </xf>
    <xf numFmtId="0" fontId="25" fillId="2" borderId="70" xfId="1" applyFont="1" applyFill="1" applyBorder="1" applyAlignment="1">
      <alignment horizontal="center" vertical="center"/>
    </xf>
    <xf numFmtId="0" fontId="25" fillId="2" borderId="67" xfId="1" applyFont="1" applyFill="1" applyBorder="1" applyAlignment="1">
      <alignment horizontal="center" vertical="center"/>
    </xf>
    <xf numFmtId="0" fontId="25" fillId="2" borderId="85" xfId="1" applyFont="1" applyFill="1" applyBorder="1" applyAlignment="1">
      <alignment horizontal="center" vertical="center"/>
    </xf>
    <xf numFmtId="0" fontId="54" fillId="0" borderId="0" xfId="1" applyFont="1" applyFill="1" applyBorder="1" applyAlignment="1">
      <alignment horizontal="center"/>
    </xf>
    <xf numFmtId="0" fontId="28" fillId="0" borderId="0" xfId="1" applyFont="1" applyFill="1" applyBorder="1" applyAlignment="1">
      <alignment horizontal="left" vertical="center" wrapText="1"/>
    </xf>
    <xf numFmtId="0" fontId="32" fillId="0" borderId="0" xfId="1" applyFont="1" applyFill="1" applyBorder="1" applyAlignment="1">
      <alignment horizontal="left" vertical="center"/>
    </xf>
    <xf numFmtId="0" fontId="54" fillId="0" borderId="34" xfId="1" applyFont="1" applyBorder="1" applyAlignment="1">
      <alignment horizontal="left" vertical="center"/>
    </xf>
    <xf numFmtId="0" fontId="54" fillId="0" borderId="42" xfId="1" applyFont="1" applyBorder="1" applyAlignment="1">
      <alignment horizontal="left" vertical="center"/>
    </xf>
    <xf numFmtId="0" fontId="54" fillId="0" borderId="35" xfId="1" applyFont="1" applyBorder="1" applyAlignment="1">
      <alignment horizontal="left" vertical="center"/>
    </xf>
    <xf numFmtId="0" fontId="25" fillId="0" borderId="46" xfId="1" applyFont="1" applyFill="1" applyBorder="1" applyAlignment="1">
      <alignment horizontal="left" vertical="center" wrapText="1"/>
    </xf>
    <xf numFmtId="0" fontId="25" fillId="0" borderId="45" xfId="1" applyFont="1" applyFill="1" applyBorder="1" applyAlignment="1">
      <alignment horizontal="left" vertical="center" wrapText="1"/>
    </xf>
    <xf numFmtId="0" fontId="25" fillId="0" borderId="44" xfId="1" applyFont="1" applyFill="1" applyBorder="1" applyAlignment="1">
      <alignment horizontal="left" vertical="center" wrapText="1"/>
    </xf>
    <xf numFmtId="0" fontId="25" fillId="0" borderId="43"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25" fillId="0" borderId="41" xfId="1" applyFont="1" applyFill="1" applyBorder="1" applyAlignment="1">
      <alignment horizontal="left" vertical="center" wrapText="1"/>
    </xf>
    <xf numFmtId="0" fontId="25" fillId="0" borderId="40" xfId="1" applyFont="1" applyFill="1" applyBorder="1" applyAlignment="1">
      <alignment horizontal="left" vertical="center" wrapText="1"/>
    </xf>
    <xf numFmtId="0" fontId="25" fillId="0" borderId="39" xfId="1" applyFont="1" applyFill="1" applyBorder="1" applyAlignment="1">
      <alignment horizontal="left" vertical="center" wrapText="1"/>
    </xf>
    <xf numFmtId="0" fontId="25" fillId="0" borderId="38" xfId="1" applyFont="1" applyFill="1" applyBorder="1" applyAlignment="1">
      <alignment horizontal="left" vertical="center" wrapText="1"/>
    </xf>
    <xf numFmtId="0" fontId="32" fillId="0" borderId="55" xfId="0" applyFont="1" applyBorder="1" applyAlignment="1">
      <alignment horizontal="center" vertical="center"/>
    </xf>
    <xf numFmtId="0" fontId="32" fillId="0" borderId="2" xfId="0" applyFont="1" applyBorder="1" applyAlignment="1">
      <alignment horizontal="center" vertical="center"/>
    </xf>
    <xf numFmtId="0" fontId="32" fillId="0" borderId="5" xfId="0" applyFont="1" applyBorder="1" applyAlignment="1">
      <alignment horizontal="center" vertical="center"/>
    </xf>
    <xf numFmtId="0" fontId="33" fillId="0" borderId="118" xfId="0" applyFont="1" applyBorder="1" applyAlignment="1">
      <alignment horizontal="center" vertical="center" wrapText="1"/>
    </xf>
    <xf numFmtId="0" fontId="33" fillId="0" borderId="89" xfId="0" applyFont="1" applyBorder="1" applyAlignment="1">
      <alignment horizontal="center" vertical="center" wrapText="1"/>
    </xf>
    <xf numFmtId="0" fontId="34" fillId="0" borderId="0" xfId="0" applyFont="1" applyFill="1" applyBorder="1" applyAlignment="1">
      <alignment horizontal="center" vertical="center"/>
    </xf>
    <xf numFmtId="0" fontId="32" fillId="0" borderId="11" xfId="0" applyFont="1" applyFill="1" applyBorder="1" applyAlignment="1">
      <alignment horizontal="left" vertical="center" wrapText="1"/>
    </xf>
    <xf numFmtId="0" fontId="32" fillId="0" borderId="7" xfId="0" applyFont="1" applyFill="1" applyBorder="1" applyAlignment="1">
      <alignment horizontal="left" vertical="center" wrapText="1"/>
    </xf>
    <xf numFmtId="0" fontId="32" fillId="0" borderId="37"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4" xfId="0" applyFont="1" applyFill="1" applyBorder="1" applyAlignment="1">
      <alignment horizontal="left" vertical="center" wrapText="1"/>
    </xf>
    <xf numFmtId="0" fontId="32" fillId="0" borderId="10" xfId="0" applyFont="1" applyFill="1" applyBorder="1" applyAlignment="1">
      <alignment horizontal="left" vertical="center" wrapText="1"/>
    </xf>
    <xf numFmtId="0" fontId="34" fillId="0" borderId="24" xfId="0" applyFont="1" applyBorder="1" applyAlignment="1">
      <alignment horizontal="center" vertical="center" wrapText="1"/>
    </xf>
    <xf numFmtId="0" fontId="34" fillId="0" borderId="115" xfId="0" applyFont="1" applyBorder="1" applyAlignment="1">
      <alignment horizontal="center" vertical="center" wrapText="1"/>
    </xf>
    <xf numFmtId="0" fontId="28" fillId="0" borderId="32" xfId="0" applyFont="1" applyFill="1" applyBorder="1" applyAlignment="1">
      <alignment horizontal="center" vertical="center"/>
    </xf>
    <xf numFmtId="0" fontId="28" fillId="0" borderId="23"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93" xfId="0" applyFont="1" applyBorder="1" applyAlignment="1">
      <alignment horizontal="center" vertical="center"/>
    </xf>
    <xf numFmtId="0" fontId="28" fillId="0" borderId="94" xfId="0" applyFont="1" applyBorder="1" applyAlignment="1">
      <alignment horizontal="center" vertical="center"/>
    </xf>
    <xf numFmtId="0" fontId="28" fillId="0" borderId="60" xfId="0" applyFont="1" applyBorder="1" applyAlignment="1">
      <alignment horizontal="center" vertical="center"/>
    </xf>
    <xf numFmtId="0" fontId="28" fillId="0" borderId="95" xfId="0" applyFont="1" applyBorder="1" applyAlignment="1">
      <alignment horizontal="center" vertical="center"/>
    </xf>
    <xf numFmtId="2" fontId="28" fillId="0" borderId="60" xfId="0" applyNumberFormat="1" applyFont="1" applyBorder="1" applyAlignment="1">
      <alignment horizontal="center" vertical="center"/>
    </xf>
    <xf numFmtId="2" fontId="28" fillId="0" borderId="95" xfId="0" applyNumberFormat="1" applyFont="1" applyBorder="1" applyAlignment="1">
      <alignment horizontal="center" vertical="center"/>
    </xf>
    <xf numFmtId="2" fontId="54" fillId="0" borderId="6" xfId="0" applyNumberFormat="1" applyFont="1" applyBorder="1" applyAlignment="1">
      <alignment horizontal="center" vertical="center" wrapText="1"/>
    </xf>
    <xf numFmtId="2" fontId="54" fillId="2" borderId="48" xfId="1" applyNumberFormat="1" applyFont="1" applyFill="1" applyBorder="1" applyAlignment="1">
      <alignment horizontal="center" vertical="center" wrapText="1"/>
    </xf>
    <xf numFmtId="2" fontId="54" fillId="2" borderId="84" xfId="1" applyNumberFormat="1" applyFont="1" applyFill="1" applyBorder="1" applyAlignment="1">
      <alignment horizontal="center" vertical="center" wrapText="1"/>
    </xf>
    <xf numFmtId="0" fontId="0" fillId="0" borderId="25" xfId="1" applyFont="1" applyBorder="1" applyAlignment="1">
      <alignment horizontal="left" vertical="center"/>
    </xf>
    <xf numFmtId="0" fontId="0" fillId="0" borderId="116" xfId="1" applyFont="1" applyBorder="1" applyAlignment="1">
      <alignment horizontal="left" vertical="center"/>
    </xf>
    <xf numFmtId="0" fontId="0" fillId="0" borderId="110" xfId="1" applyFont="1" applyBorder="1" applyAlignment="1">
      <alignment horizontal="left" vertical="center"/>
    </xf>
    <xf numFmtId="0" fontId="33" fillId="0" borderId="55" xfId="1" applyFont="1" applyBorder="1" applyAlignment="1">
      <alignment horizontal="center" vertical="center" wrapText="1"/>
    </xf>
    <xf numFmtId="0" fontId="33" fillId="0" borderId="2" xfId="1" applyFont="1" applyBorder="1" applyAlignment="1">
      <alignment horizontal="center" vertical="center" wrapText="1"/>
    </xf>
    <xf numFmtId="0" fontId="33" fillId="0" borderId="109" xfId="1" applyFont="1" applyBorder="1" applyAlignment="1">
      <alignment horizontal="center" vertical="center" wrapText="1"/>
    </xf>
    <xf numFmtId="0" fontId="0" fillId="0" borderId="24" xfId="1" applyFont="1" applyBorder="1" applyAlignment="1">
      <alignment horizontal="left" vertical="center"/>
    </xf>
    <xf numFmtId="0" fontId="0" fillId="0" borderId="88" xfId="1" applyFont="1" applyBorder="1" applyAlignment="1">
      <alignment horizontal="left" vertical="center"/>
    </xf>
    <xf numFmtId="0" fontId="0" fillId="0" borderId="115" xfId="1" applyFont="1" applyBorder="1" applyAlignment="1">
      <alignment horizontal="left" vertical="center"/>
    </xf>
    <xf numFmtId="0" fontId="0" fillId="0" borderId="26" xfId="1" applyFont="1" applyBorder="1" applyAlignment="1">
      <alignment horizontal="left" vertical="center"/>
    </xf>
    <xf numFmtId="0" fontId="0" fillId="0" borderId="42" xfId="1" applyFont="1" applyBorder="1" applyAlignment="1">
      <alignment horizontal="left" vertical="center"/>
    </xf>
    <xf numFmtId="0" fontId="0" fillId="0" borderId="35" xfId="1" applyFont="1" applyBorder="1" applyAlignment="1">
      <alignment horizontal="left" vertical="center"/>
    </xf>
    <xf numFmtId="0" fontId="32" fillId="0" borderId="55" xfId="1" applyFont="1" applyBorder="1" applyAlignment="1">
      <alignment horizontal="center" vertical="center"/>
    </xf>
    <xf numFmtId="0" fontId="32" fillId="0" borderId="2" xfId="1" applyFont="1" applyBorder="1" applyAlignment="1">
      <alignment horizontal="center" vertical="center"/>
    </xf>
    <xf numFmtId="0" fontId="32" fillId="0" borderId="5" xfId="1" applyFont="1" applyBorder="1" applyAlignment="1">
      <alignment horizontal="center" vertical="center"/>
    </xf>
    <xf numFmtId="0" fontId="33" fillId="0" borderId="28" xfId="1" applyFont="1" applyBorder="1" applyAlignment="1">
      <alignment horizontal="center" vertical="center" wrapText="1"/>
    </xf>
    <xf numFmtId="0" fontId="33" fillId="0" borderId="30" xfId="1" applyFont="1" applyBorder="1" applyAlignment="1">
      <alignment horizontal="center" vertical="center" wrapText="1"/>
    </xf>
    <xf numFmtId="0" fontId="33" fillId="0" borderId="26" xfId="0" applyFont="1" applyBorder="1" applyAlignment="1">
      <alignment horizontal="center" vertical="center" wrapText="1"/>
    </xf>
    <xf numFmtId="0" fontId="33" fillId="0" borderId="35" xfId="0" applyFont="1" applyBorder="1" applyAlignment="1">
      <alignment horizontal="center" vertical="center" wrapText="1"/>
    </xf>
    <xf numFmtId="2" fontId="28" fillId="0" borderId="6" xfId="0" applyNumberFormat="1" applyFont="1" applyBorder="1" applyAlignment="1">
      <alignment horizontal="center" vertical="center"/>
    </xf>
    <xf numFmtId="2" fontId="28" fillId="0" borderId="23" xfId="0" applyNumberFormat="1" applyFont="1" applyBorder="1" applyAlignment="1">
      <alignment horizontal="center" vertical="center"/>
    </xf>
    <xf numFmtId="0" fontId="0" fillId="0" borderId="73" xfId="1" applyFont="1" applyBorder="1" applyAlignment="1">
      <alignment horizontal="left" vertical="center"/>
    </xf>
    <xf numFmtId="0" fontId="0" fillId="0" borderId="48" xfId="1" applyFont="1" applyBorder="1" applyAlignment="1">
      <alignment horizontal="left" vertical="center"/>
    </xf>
    <xf numFmtId="0" fontId="0" fillId="0" borderId="51" xfId="1" applyFont="1" applyBorder="1" applyAlignment="1">
      <alignment horizontal="left" vertical="center"/>
    </xf>
    <xf numFmtId="0" fontId="25" fillId="0" borderId="67" xfId="0" applyFont="1" applyBorder="1" applyAlignment="1">
      <alignment horizontal="left" vertical="center" wrapText="1"/>
    </xf>
    <xf numFmtId="0" fontId="25" fillId="0" borderId="50" xfId="0" applyFont="1" applyBorder="1" applyAlignment="1">
      <alignment horizontal="left" vertical="center" wrapText="1"/>
    </xf>
    <xf numFmtId="0" fontId="25" fillId="0" borderId="48" xfId="0" applyFont="1" applyBorder="1" applyAlignment="1">
      <alignment horizontal="left" vertical="center" wrapText="1"/>
    </xf>
    <xf numFmtId="0" fontId="25" fillId="0" borderId="51" xfId="0" applyFont="1" applyBorder="1" applyAlignment="1">
      <alignment horizontal="left" vertical="center" wrapText="1"/>
    </xf>
    <xf numFmtId="0" fontId="33" fillId="0" borderId="25" xfId="0" applyFont="1" applyBorder="1" applyAlignment="1">
      <alignment horizontal="center" vertical="center" wrapText="1"/>
    </xf>
    <xf numFmtId="0" fontId="33" fillId="0" borderId="110" xfId="0" applyFont="1" applyBorder="1" applyAlignment="1">
      <alignment horizontal="center" vertical="center" wrapText="1"/>
    </xf>
    <xf numFmtId="2" fontId="28" fillId="0" borderId="18" xfId="0" applyNumberFormat="1" applyFont="1" applyBorder="1" applyAlignment="1">
      <alignment horizontal="center" vertical="center"/>
    </xf>
    <xf numFmtId="2" fontId="28" fillId="0" borderId="19" xfId="0" applyNumberFormat="1" applyFont="1" applyBorder="1" applyAlignment="1">
      <alignment horizontal="center" vertical="center"/>
    </xf>
    <xf numFmtId="0" fontId="32" fillId="0" borderId="6" xfId="1" applyFont="1" applyBorder="1" applyAlignment="1">
      <alignment horizontal="center" vertical="center" wrapText="1"/>
    </xf>
    <xf numFmtId="0" fontId="0" fillId="0" borderId="0" xfId="1" applyFont="1" applyBorder="1" applyAlignment="1">
      <alignment vertical="center"/>
    </xf>
    <xf numFmtId="0" fontId="13" fillId="0" borderId="0" xfId="1" applyBorder="1" applyAlignment="1">
      <alignment vertical="center"/>
    </xf>
    <xf numFmtId="0" fontId="34" fillId="0" borderId="86" xfId="0" applyFont="1" applyBorder="1" applyAlignment="1">
      <alignment horizontal="center" vertical="center"/>
    </xf>
    <xf numFmtId="0" fontId="34" fillId="0" borderId="94" xfId="0" applyFont="1" applyBorder="1" applyAlignment="1">
      <alignment horizontal="center" vertical="center"/>
    </xf>
    <xf numFmtId="0" fontId="34" fillId="0" borderId="77" xfId="0" applyFont="1" applyBorder="1" applyAlignment="1">
      <alignment horizontal="center" vertical="center"/>
    </xf>
    <xf numFmtId="0" fontId="34" fillId="0" borderId="95" xfId="0" applyFont="1" applyBorder="1" applyAlignment="1">
      <alignment horizontal="center" vertical="center"/>
    </xf>
    <xf numFmtId="0" fontId="34" fillId="0" borderId="118" xfId="0" applyFont="1" applyFill="1" applyBorder="1" applyAlignment="1">
      <alignment horizontal="center" vertical="center"/>
    </xf>
    <xf numFmtId="0" fontId="34" fillId="0" borderId="89" xfId="0" applyFont="1" applyFill="1" applyBorder="1" applyAlignment="1">
      <alignment horizontal="center" vertical="center"/>
    </xf>
    <xf numFmtId="0" fontId="34" fillId="0" borderId="77" xfId="0" applyFont="1" applyBorder="1" applyAlignment="1">
      <alignment horizontal="center" vertical="center" wrapText="1"/>
    </xf>
    <xf numFmtId="0" fontId="34" fillId="0" borderId="95" xfId="0" applyFont="1" applyBorder="1" applyAlignment="1">
      <alignment horizontal="center" vertical="center" wrapText="1"/>
    </xf>
    <xf numFmtId="0" fontId="38" fillId="0" borderId="55" xfId="1" applyFont="1" applyBorder="1" applyAlignment="1">
      <alignment horizontal="center" vertical="center"/>
    </xf>
    <xf numFmtId="0" fontId="38" fillId="0" borderId="2" xfId="1" applyFont="1" applyBorder="1" applyAlignment="1">
      <alignment horizontal="center" vertical="center"/>
    </xf>
    <xf numFmtId="0" fontId="38" fillId="0" borderId="5" xfId="1" applyFont="1" applyBorder="1" applyAlignment="1">
      <alignment horizontal="center" vertical="center"/>
    </xf>
    <xf numFmtId="0" fontId="0" fillId="0" borderId="31" xfId="1" applyFont="1" applyBorder="1" applyAlignment="1">
      <alignment horizontal="center" vertical="center"/>
    </xf>
    <xf numFmtId="0" fontId="13" fillId="0" borderId="33" xfId="1" applyBorder="1" applyAlignment="1">
      <alignment horizontal="center" vertical="center"/>
    </xf>
    <xf numFmtId="0" fontId="0" fillId="0" borderId="33" xfId="1" applyFont="1" applyBorder="1" applyAlignment="1">
      <alignment horizontal="center" vertical="center"/>
    </xf>
    <xf numFmtId="0" fontId="0" fillId="0" borderId="22" xfId="1" applyFont="1" applyBorder="1" applyAlignment="1">
      <alignment horizontal="center" vertical="center"/>
    </xf>
    <xf numFmtId="0" fontId="13" fillId="0" borderId="6" xfId="1" applyBorder="1" applyAlignment="1">
      <alignment horizontal="center" vertical="center"/>
    </xf>
    <xf numFmtId="0" fontId="0" fillId="0" borderId="6" xfId="1" applyFont="1" applyBorder="1" applyAlignment="1">
      <alignment horizontal="center" vertical="center"/>
    </xf>
    <xf numFmtId="0" fontId="0" fillId="0" borderId="17" xfId="1" applyFont="1" applyBorder="1" applyAlignment="1">
      <alignment horizontal="center" vertical="center"/>
    </xf>
    <xf numFmtId="0" fontId="13" fillId="0" borderId="18" xfId="1" applyBorder="1" applyAlignment="1">
      <alignment horizontal="center" vertical="center"/>
    </xf>
    <xf numFmtId="0" fontId="0" fillId="0" borderId="18" xfId="1" applyFont="1" applyBorder="1" applyAlignment="1">
      <alignment horizontal="center" vertical="center"/>
    </xf>
    <xf numFmtId="0" fontId="54" fillId="0" borderId="34" xfId="1" applyFont="1" applyBorder="1" applyAlignment="1">
      <alignment horizontal="left" vertical="center" wrapText="1"/>
    </xf>
    <xf numFmtId="0" fontId="54" fillId="0" borderId="42" xfId="1" applyFont="1" applyBorder="1" applyAlignment="1">
      <alignment horizontal="left" vertical="center" wrapText="1"/>
    </xf>
    <xf numFmtId="0" fontId="54" fillId="0" borderId="35" xfId="1" applyFont="1" applyBorder="1" applyAlignment="1">
      <alignment horizontal="left" vertical="center" wrapText="1"/>
    </xf>
    <xf numFmtId="0" fontId="28" fillId="0" borderId="33" xfId="0" applyFont="1" applyBorder="1" applyAlignment="1">
      <alignment horizontal="center" vertical="center"/>
    </xf>
    <xf numFmtId="0" fontId="28" fillId="0" borderId="6" xfId="0" applyFont="1" applyBorder="1" applyAlignment="1">
      <alignment horizontal="center" vertical="center"/>
    </xf>
    <xf numFmtId="0" fontId="28" fillId="0" borderId="18" xfId="0" applyFont="1" applyBorder="1" applyAlignment="1">
      <alignment horizontal="center" vertical="center"/>
    </xf>
    <xf numFmtId="2" fontId="28" fillId="0" borderId="77" xfId="0" applyNumberFormat="1" applyFont="1" applyBorder="1" applyAlignment="1">
      <alignment horizontal="center" vertical="center"/>
    </xf>
    <xf numFmtId="0" fontId="33" fillId="0" borderId="26" xfId="0" applyFont="1" applyBorder="1" applyAlignment="1">
      <alignment horizontal="center" vertical="center"/>
    </xf>
    <xf numFmtId="0" fontId="33" fillId="0" borderId="35" xfId="0" applyFont="1" applyBorder="1" applyAlignment="1">
      <alignment horizontal="center" vertical="center"/>
    </xf>
    <xf numFmtId="0" fontId="28" fillId="0" borderId="6" xfId="0" applyFont="1" applyBorder="1" applyAlignment="1">
      <alignment horizontal="center" vertical="center" wrapText="1"/>
    </xf>
    <xf numFmtId="0" fontId="28" fillId="0" borderId="23" xfId="0" applyFont="1" applyBorder="1" applyAlignment="1">
      <alignment horizontal="center" vertical="center" wrapText="1"/>
    </xf>
    <xf numFmtId="2" fontId="54" fillId="0" borderId="34" xfId="0" applyNumberFormat="1" applyFont="1" applyBorder="1" applyAlignment="1">
      <alignment horizontal="left" vertical="center" wrapText="1"/>
    </xf>
    <xf numFmtId="2" fontId="54" fillId="0" borderId="42" xfId="0" applyNumberFormat="1" applyFont="1" applyBorder="1" applyAlignment="1">
      <alignment horizontal="left" vertical="center" wrapText="1"/>
    </xf>
    <xf numFmtId="2" fontId="54" fillId="0" borderId="35" xfId="0" applyNumberFormat="1" applyFont="1" applyBorder="1" applyAlignment="1">
      <alignment horizontal="left" vertical="center" wrapText="1"/>
    </xf>
    <xf numFmtId="0" fontId="112" fillId="0" borderId="0" xfId="0" applyFont="1" applyFill="1" applyBorder="1" applyAlignment="1">
      <alignment horizontal="center" vertical="center"/>
    </xf>
    <xf numFmtId="0" fontId="113" fillId="0" borderId="11" xfId="0" applyFont="1" applyBorder="1" applyAlignment="1">
      <alignment horizontal="center" vertical="center" wrapText="1"/>
    </xf>
    <xf numFmtId="0" fontId="113" fillId="0" borderId="37" xfId="0" applyFont="1" applyBorder="1" applyAlignment="1">
      <alignment horizontal="center" vertical="center" wrapText="1"/>
    </xf>
    <xf numFmtId="0" fontId="28" fillId="0" borderId="0" xfId="0" applyFont="1" applyBorder="1" applyAlignment="1">
      <alignment horizontal="right" vertical="center" wrapText="1"/>
    </xf>
    <xf numFmtId="0" fontId="28" fillId="0" borderId="0" xfId="0" applyFont="1" applyAlignment="1">
      <alignment horizontal="left" vertical="center"/>
    </xf>
    <xf numFmtId="2" fontId="38" fillId="0" borderId="40" xfId="0" applyNumberFormat="1" applyFont="1" applyBorder="1" applyAlignment="1">
      <alignment horizontal="left" vertical="center" wrapText="1"/>
    </xf>
    <xf numFmtId="2" fontId="38" fillId="0" borderId="39" xfId="0" applyNumberFormat="1" applyFont="1" applyBorder="1" applyAlignment="1">
      <alignment horizontal="left" vertical="center" wrapText="1"/>
    </xf>
    <xf numFmtId="2" fontId="38" fillId="0" borderId="38" xfId="0" applyNumberFormat="1" applyFont="1" applyBorder="1" applyAlignment="1">
      <alignment horizontal="left" vertical="center" wrapText="1"/>
    </xf>
    <xf numFmtId="165" fontId="57" fillId="0" borderId="71" xfId="0" applyNumberFormat="1" applyFont="1" applyFill="1" applyBorder="1" applyAlignment="1">
      <alignment horizontal="left" vertical="center" wrapText="1"/>
    </xf>
    <xf numFmtId="165" fontId="57" fillId="0" borderId="0" xfId="0" applyNumberFormat="1" applyFont="1" applyFill="1" applyBorder="1" applyAlignment="1">
      <alignment horizontal="left" vertical="center" wrapText="1"/>
    </xf>
    <xf numFmtId="0" fontId="28" fillId="0" borderId="70" xfId="0" applyFont="1" applyBorder="1" applyAlignment="1">
      <alignment horizontal="right" vertical="center" wrapText="1"/>
    </xf>
    <xf numFmtId="0" fontId="28" fillId="0" borderId="67" xfId="0" applyFont="1" applyBorder="1" applyAlignment="1">
      <alignment horizontal="right" vertical="center" wrapText="1"/>
    </xf>
    <xf numFmtId="0" fontId="28" fillId="0" borderId="50" xfId="0" applyFont="1" applyBorder="1" applyAlignment="1">
      <alignment horizontal="right" vertical="center" wrapText="1"/>
    </xf>
    <xf numFmtId="0" fontId="54" fillId="0" borderId="0" xfId="0" applyFont="1" applyBorder="1" applyAlignment="1">
      <alignment horizontal="left" vertical="center" wrapText="1"/>
    </xf>
    <xf numFmtId="0" fontId="28" fillId="0" borderId="6" xfId="0" applyFont="1" applyFill="1" applyBorder="1" applyAlignment="1">
      <alignment horizontal="center" vertical="center"/>
    </xf>
    <xf numFmtId="2" fontId="28" fillId="0" borderId="6" xfId="0" applyNumberFormat="1" applyFont="1" applyFill="1" applyBorder="1" applyAlignment="1">
      <alignment horizontal="center" vertical="center"/>
    </xf>
    <xf numFmtId="0" fontId="57" fillId="0" borderId="71" xfId="0" applyFont="1" applyBorder="1" applyAlignment="1">
      <alignment horizontal="left" vertical="center" wrapText="1"/>
    </xf>
    <xf numFmtId="0" fontId="57" fillId="0" borderId="0" xfId="0" applyFont="1" applyAlignment="1">
      <alignment horizontal="left" vertical="center" wrapText="1"/>
    </xf>
    <xf numFmtId="0" fontId="28" fillId="0" borderId="6" xfId="0" applyFont="1" applyBorder="1" applyAlignment="1">
      <alignment horizontal="right" vertical="center"/>
    </xf>
    <xf numFmtId="0" fontId="27" fillId="0" borderId="0" xfId="0" applyFont="1" applyAlignment="1">
      <alignment horizontal="left" vertical="center"/>
    </xf>
    <xf numFmtId="0" fontId="28" fillId="0" borderId="0" xfId="0" applyFont="1" applyAlignment="1">
      <alignment horizontal="left" vertical="center" wrapText="1"/>
    </xf>
    <xf numFmtId="0" fontId="33" fillId="0" borderId="56" xfId="0" applyFont="1" applyBorder="1" applyAlignment="1">
      <alignment horizontal="center" vertical="center" wrapText="1"/>
    </xf>
    <xf numFmtId="0" fontId="33" fillId="0" borderId="6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0" xfId="0" applyFont="1" applyAlignment="1">
      <alignment horizontal="right" vertical="center"/>
    </xf>
    <xf numFmtId="0" fontId="33" fillId="0" borderId="14" xfId="0" applyFont="1" applyBorder="1" applyAlignment="1">
      <alignment horizontal="right" vertical="center"/>
    </xf>
    <xf numFmtId="0" fontId="48" fillId="0" borderId="6" xfId="0" applyFont="1" applyFill="1" applyBorder="1" applyAlignment="1">
      <alignment horizontal="center" vertical="center"/>
    </xf>
    <xf numFmtId="0" fontId="28" fillId="0" borderId="0" xfId="0" applyFont="1" applyAlignment="1">
      <alignment horizontal="right" vertical="center"/>
    </xf>
    <xf numFmtId="0" fontId="28" fillId="0" borderId="14" xfId="0" applyFont="1" applyBorder="1" applyAlignment="1">
      <alignment horizontal="right" vertical="center"/>
    </xf>
    <xf numFmtId="2" fontId="25" fillId="0" borderId="34" xfId="0" applyNumberFormat="1" applyFont="1" applyFill="1" applyBorder="1" applyAlignment="1">
      <alignment horizontal="center" vertical="center"/>
    </xf>
    <xf numFmtId="0" fontId="25" fillId="0" borderId="42" xfId="0" applyFont="1" applyFill="1" applyBorder="1" applyAlignment="1">
      <alignment horizontal="center" vertical="center"/>
    </xf>
    <xf numFmtId="0" fontId="25" fillId="0" borderId="35" xfId="0" applyFont="1" applyFill="1" applyBorder="1" applyAlignment="1">
      <alignment horizontal="center" vertical="center"/>
    </xf>
    <xf numFmtId="0" fontId="88" fillId="0" borderId="45" xfId="0" applyFont="1" applyBorder="1" applyAlignment="1">
      <alignment horizontal="center" vertical="center" wrapText="1"/>
    </xf>
    <xf numFmtId="0" fontId="38" fillId="0" borderId="0" xfId="0" applyFont="1" applyBorder="1" applyAlignment="1">
      <alignment horizontal="center" wrapText="1"/>
    </xf>
    <xf numFmtId="0" fontId="30" fillId="0" borderId="53" xfId="1" applyFont="1" applyFill="1" applyBorder="1" applyAlignment="1">
      <alignment horizontal="center" vertical="center"/>
    </xf>
    <xf numFmtId="14" fontId="30" fillId="0" borderId="48" xfId="1" applyNumberFormat="1" applyFont="1" applyFill="1" applyBorder="1" applyAlignment="1">
      <alignment horizontal="center" vertical="center"/>
    </xf>
    <xf numFmtId="14" fontId="30" fillId="0" borderId="42" xfId="1" applyNumberFormat="1" applyFont="1" applyFill="1" applyBorder="1" applyAlignment="1">
      <alignment horizontal="center" vertical="center"/>
    </xf>
    <xf numFmtId="0" fontId="25" fillId="0" borderId="6" xfId="0" applyFont="1" applyBorder="1" applyAlignment="1">
      <alignment horizontal="right" vertical="center"/>
    </xf>
    <xf numFmtId="0" fontId="33" fillId="0" borderId="6" xfId="0" applyFont="1" applyBorder="1" applyAlignment="1">
      <alignment horizontal="center" vertical="center" wrapText="1"/>
    </xf>
    <xf numFmtId="165" fontId="28" fillId="0" borderId="0" xfId="0" applyNumberFormat="1" applyFont="1" applyFill="1" applyBorder="1" applyAlignment="1">
      <alignment horizontal="left" vertical="center" wrapText="1"/>
    </xf>
    <xf numFmtId="0" fontId="29" fillId="0" borderId="42" xfId="1" applyFont="1" applyFill="1" applyBorder="1" applyAlignment="1">
      <alignment horizontal="center" vertical="center"/>
    </xf>
    <xf numFmtId="0" fontId="29" fillId="0" borderId="66" xfId="1" applyFont="1" applyFill="1" applyBorder="1" applyAlignment="1">
      <alignment horizontal="center" vertical="center"/>
    </xf>
    <xf numFmtId="0" fontId="28" fillId="0" borderId="6" xfId="0" applyFont="1" applyBorder="1" applyAlignment="1">
      <alignment horizontal="left" vertical="center"/>
    </xf>
    <xf numFmtId="0" fontId="63" fillId="0" borderId="6" xfId="0" applyFont="1" applyBorder="1" applyAlignment="1">
      <alignment horizontal="right" vertical="center"/>
    </xf>
    <xf numFmtId="0" fontId="27" fillId="0" borderId="0" xfId="0" applyFont="1" applyBorder="1" applyAlignment="1">
      <alignment horizontal="left" vertical="center"/>
    </xf>
    <xf numFmtId="2" fontId="25" fillId="0" borderId="45" xfId="0" applyNumberFormat="1" applyFont="1" applyBorder="1" applyAlignment="1">
      <alignment horizontal="left" vertical="center" wrapText="1"/>
    </xf>
    <xf numFmtId="2" fontId="31" fillId="0" borderId="90" xfId="0" applyNumberFormat="1" applyFont="1" applyBorder="1" applyAlignment="1">
      <alignment horizontal="center" vertical="center"/>
    </xf>
    <xf numFmtId="2" fontId="31" fillId="0" borderId="42" xfId="0" applyNumberFormat="1" applyFont="1" applyBorder="1" applyAlignment="1">
      <alignment horizontal="center" vertical="center"/>
    </xf>
    <xf numFmtId="2" fontId="31" fillId="0" borderId="66" xfId="0" applyNumberFormat="1" applyFont="1" applyBorder="1" applyAlignment="1">
      <alignment horizontal="center" vertical="center"/>
    </xf>
    <xf numFmtId="0" fontId="32" fillId="0" borderId="57" xfId="0" applyFont="1" applyBorder="1" applyAlignment="1">
      <alignment horizontal="center" vertical="center"/>
    </xf>
    <xf numFmtId="0" fontId="32" fillId="0" borderId="58" xfId="0" applyFont="1" applyBorder="1" applyAlignment="1">
      <alignment horizontal="center" vertical="center"/>
    </xf>
    <xf numFmtId="0" fontId="32" fillId="0" borderId="59" xfId="0" applyFont="1" applyBorder="1" applyAlignment="1">
      <alignment horizontal="center" vertical="center"/>
    </xf>
    <xf numFmtId="2" fontId="15" fillId="0" borderId="0" xfId="0" applyNumberFormat="1" applyFont="1" applyBorder="1" applyAlignment="1">
      <alignment horizontal="left" vertical="center" wrapText="1"/>
    </xf>
    <xf numFmtId="2" fontId="15" fillId="0" borderId="14" xfId="0" applyNumberFormat="1" applyFont="1" applyBorder="1" applyAlignment="1">
      <alignment horizontal="left" vertical="center" wrapText="1"/>
    </xf>
    <xf numFmtId="0" fontId="15" fillId="0" borderId="6" xfId="0" applyFont="1" applyBorder="1" applyAlignment="1">
      <alignment horizontal="right" vertical="center"/>
    </xf>
    <xf numFmtId="0" fontId="28" fillId="0" borderId="34" xfId="0" applyFont="1" applyBorder="1" applyAlignment="1">
      <alignment horizontal="right" vertical="center" wrapText="1"/>
    </xf>
    <xf numFmtId="0" fontId="28" fillId="0" borderId="42" xfId="0" applyFont="1" applyBorder="1" applyAlignment="1">
      <alignment horizontal="right" vertical="center" wrapText="1"/>
    </xf>
    <xf numFmtId="0" fontId="28" fillId="0" borderId="35" xfId="0" applyFont="1" applyBorder="1" applyAlignment="1">
      <alignment horizontal="right" vertical="center" wrapText="1"/>
    </xf>
    <xf numFmtId="0" fontId="25" fillId="0" borderId="6" xfId="0" applyFont="1" applyFill="1" applyBorder="1" applyAlignment="1">
      <alignment horizontal="center" vertical="center"/>
    </xf>
    <xf numFmtId="2" fontId="28" fillId="0" borderId="46" xfId="0" applyNumberFormat="1" applyFont="1" applyBorder="1" applyAlignment="1">
      <alignment horizontal="left" vertical="center" wrapText="1"/>
    </xf>
    <xf numFmtId="2" fontId="28" fillId="0" borderId="45" xfId="0" applyNumberFormat="1" applyFont="1" applyBorder="1" applyAlignment="1">
      <alignment horizontal="left" vertical="center" wrapText="1"/>
    </xf>
    <xf numFmtId="2" fontId="28" fillId="0" borderId="44" xfId="0" applyNumberFormat="1" applyFont="1" applyBorder="1" applyAlignment="1">
      <alignment horizontal="left" vertical="center" wrapText="1"/>
    </xf>
    <xf numFmtId="0" fontId="68" fillId="0" borderId="77" xfId="0" applyFont="1" applyBorder="1" applyAlignment="1">
      <alignment horizontal="center" vertical="center"/>
    </xf>
    <xf numFmtId="0" fontId="68" fillId="0" borderId="33" xfId="0" applyFont="1" applyBorder="1" applyAlignment="1">
      <alignment horizontal="center" vertical="center"/>
    </xf>
    <xf numFmtId="2" fontId="33" fillId="0" borderId="43" xfId="0" applyNumberFormat="1" applyFont="1" applyFill="1" applyBorder="1" applyAlignment="1">
      <alignment vertical="center" wrapText="1"/>
    </xf>
    <xf numFmtId="2" fontId="33" fillId="0" borderId="0" xfId="0" applyNumberFormat="1" applyFont="1" applyFill="1" applyBorder="1" applyAlignment="1">
      <alignment vertical="center" wrapText="1"/>
    </xf>
    <xf numFmtId="2" fontId="28" fillId="0" borderId="43" xfId="0" applyNumberFormat="1" applyFont="1" applyBorder="1" applyAlignment="1">
      <alignment vertical="center" wrapText="1"/>
    </xf>
    <xf numFmtId="2" fontId="28" fillId="0" borderId="0" xfId="0" applyNumberFormat="1" applyFont="1" applyBorder="1" applyAlignment="1">
      <alignment vertical="center" wrapText="1"/>
    </xf>
    <xf numFmtId="2" fontId="28" fillId="0" borderId="43" xfId="0" applyNumberFormat="1" applyFont="1" applyBorder="1" applyAlignment="1">
      <alignment horizontal="left" vertical="center" wrapText="1"/>
    </xf>
    <xf numFmtId="2" fontId="28" fillId="0" borderId="0" xfId="0" applyNumberFormat="1" applyFont="1" applyBorder="1" applyAlignment="1">
      <alignment horizontal="left" vertical="center" wrapText="1"/>
    </xf>
    <xf numFmtId="0" fontId="28" fillId="0" borderId="56" xfId="0" applyFont="1" applyBorder="1" applyAlignment="1">
      <alignment horizontal="right" vertical="center"/>
    </xf>
    <xf numFmtId="0" fontId="28" fillId="0" borderId="33" xfId="0" applyFont="1" applyBorder="1" applyAlignment="1">
      <alignment horizontal="right" vertical="center"/>
    </xf>
    <xf numFmtId="0" fontId="28" fillId="0" borderId="0" xfId="0" applyFont="1" applyBorder="1" applyAlignment="1">
      <alignment horizontal="left" vertical="center" wrapText="1"/>
    </xf>
    <xf numFmtId="0" fontId="28" fillId="0" borderId="68" xfId="0" applyFont="1" applyFill="1" applyBorder="1" applyAlignment="1">
      <alignment horizontal="center" vertical="center"/>
    </xf>
    <xf numFmtId="0" fontId="28" fillId="0" borderId="112" xfId="0" applyFont="1" applyFill="1" applyBorder="1" applyAlignment="1">
      <alignment horizontal="center" vertical="center"/>
    </xf>
    <xf numFmtId="0" fontId="28" fillId="0" borderId="113" xfId="0" applyFont="1" applyFill="1" applyBorder="1" applyAlignment="1">
      <alignment horizontal="center" vertical="center"/>
    </xf>
    <xf numFmtId="0" fontId="38" fillId="0" borderId="0" xfId="0" applyFont="1" applyAlignment="1">
      <alignment horizontal="center" vertical="center"/>
    </xf>
    <xf numFmtId="0" fontId="28" fillId="0" borderId="0" xfId="0" applyFont="1" applyBorder="1" applyAlignment="1">
      <alignment horizontal="left" vertical="center"/>
    </xf>
    <xf numFmtId="9" fontId="28" fillId="0" borderId="0" xfId="0" applyNumberFormat="1" applyFont="1" applyBorder="1" applyAlignment="1">
      <alignment horizontal="left" vertical="center"/>
    </xf>
    <xf numFmtId="0" fontId="57" fillId="0" borderId="0" xfId="0" applyFont="1" applyBorder="1" applyAlignment="1">
      <alignment horizontal="left" vertical="center" wrapText="1"/>
    </xf>
    <xf numFmtId="0" fontId="28" fillId="0" borderId="33" xfId="0" applyFont="1" applyBorder="1" applyAlignment="1">
      <alignment horizontal="left" vertical="center"/>
    </xf>
    <xf numFmtId="165" fontId="28" fillId="0" borderId="6" xfId="0" applyNumberFormat="1" applyFont="1" applyFill="1" applyBorder="1" applyAlignment="1">
      <alignment horizontal="center" vertical="center"/>
    </xf>
    <xf numFmtId="0" fontId="108" fillId="10" borderId="55" xfId="0" applyFont="1" applyFill="1" applyBorder="1" applyAlignment="1">
      <alignment horizontal="center" vertical="center"/>
    </xf>
    <xf numFmtId="0" fontId="108" fillId="10" borderId="2" xfId="0" applyFont="1" applyFill="1" applyBorder="1" applyAlignment="1">
      <alignment horizontal="center" vertical="center"/>
    </xf>
    <xf numFmtId="0" fontId="108" fillId="10" borderId="5" xfId="0" applyFont="1" applyFill="1" applyBorder="1" applyAlignment="1">
      <alignment horizontal="center" vertical="center"/>
    </xf>
    <xf numFmtId="0" fontId="68" fillId="0" borderId="86" xfId="0" applyFont="1" applyBorder="1" applyAlignment="1">
      <alignment horizontal="center" vertical="center"/>
    </xf>
    <xf numFmtId="0" fontId="68" fillId="0" borderId="31" xfId="0" applyFont="1" applyBorder="1" applyAlignment="1">
      <alignment horizontal="center" vertical="center"/>
    </xf>
    <xf numFmtId="0" fontId="68" fillId="0" borderId="118" xfId="0" applyFont="1" applyBorder="1" applyAlignment="1">
      <alignment horizontal="center" vertical="center"/>
    </xf>
    <xf numFmtId="0" fontId="68" fillId="0" borderId="115" xfId="0" applyFont="1" applyBorder="1" applyAlignment="1">
      <alignment horizontal="center" vertical="center"/>
    </xf>
    <xf numFmtId="0" fontId="68" fillId="0" borderId="78" xfId="0" applyFont="1" applyFill="1" applyBorder="1" applyAlignment="1">
      <alignment horizontal="center" vertical="center" wrapText="1"/>
    </xf>
    <xf numFmtId="0" fontId="68" fillId="0" borderId="32" xfId="0" applyFont="1" applyFill="1" applyBorder="1" applyAlignment="1">
      <alignment horizontal="center" vertical="center" wrapText="1"/>
    </xf>
    <xf numFmtId="0" fontId="68" fillId="10" borderId="26" xfId="0" applyFont="1" applyFill="1" applyBorder="1" applyAlignment="1">
      <alignment horizontal="center" vertical="center"/>
    </xf>
    <xf numFmtId="0" fontId="68" fillId="10" borderId="42" xfId="0" applyFont="1" applyFill="1" applyBorder="1" applyAlignment="1">
      <alignment horizontal="center" vertical="center"/>
    </xf>
    <xf numFmtId="0" fontId="68" fillId="10" borderId="120" xfId="0" applyFont="1" applyFill="1" applyBorder="1" applyAlignment="1">
      <alignment horizontal="center" vertical="center"/>
    </xf>
    <xf numFmtId="9" fontId="6" fillId="0" borderId="26" xfId="0" applyNumberFormat="1" applyFont="1" applyBorder="1" applyAlignment="1">
      <alignment horizontal="center" vertical="center"/>
    </xf>
    <xf numFmtId="9" fontId="6" fillId="0" borderId="42" xfId="0" applyNumberFormat="1" applyFont="1" applyBorder="1" applyAlignment="1">
      <alignment horizontal="center" vertical="center"/>
    </xf>
    <xf numFmtId="9" fontId="6" fillId="0" borderId="120" xfId="0" applyNumberFormat="1" applyFont="1" applyBorder="1" applyAlignment="1">
      <alignment horizontal="center" vertical="center"/>
    </xf>
    <xf numFmtId="0" fontId="68" fillId="10" borderId="26" xfId="0" applyFont="1" applyFill="1" applyBorder="1" applyAlignment="1">
      <alignment horizontal="center"/>
    </xf>
    <xf numFmtId="0" fontId="68" fillId="10" borderId="42" xfId="0" applyFont="1" applyFill="1" applyBorder="1" applyAlignment="1">
      <alignment horizontal="center"/>
    </xf>
    <xf numFmtId="0" fontId="68" fillId="10" borderId="120" xfId="0" applyFont="1" applyFill="1" applyBorder="1" applyAlignment="1">
      <alignment horizontal="center"/>
    </xf>
    <xf numFmtId="0" fontId="0" fillId="0" borderId="25" xfId="0" applyBorder="1" applyAlignment="1">
      <alignment horizontal="center"/>
    </xf>
    <xf numFmtId="0" fontId="0" fillId="0" borderId="116" xfId="0" applyBorder="1" applyAlignment="1">
      <alignment horizontal="center"/>
    </xf>
    <xf numFmtId="0" fontId="0" fillId="0" borderId="121" xfId="0" applyBorder="1" applyAlignment="1">
      <alignment horizontal="center"/>
    </xf>
    <xf numFmtId="0" fontId="68" fillId="10" borderId="55" xfId="0" applyFont="1" applyFill="1" applyBorder="1" applyAlignment="1">
      <alignment horizontal="center" vertical="center"/>
    </xf>
    <xf numFmtId="0" fontId="68" fillId="10" borderId="2" xfId="0" applyFont="1" applyFill="1" applyBorder="1" applyAlignment="1">
      <alignment horizontal="center" vertical="center"/>
    </xf>
    <xf numFmtId="0" fontId="68" fillId="10" borderId="5" xfId="0" applyFont="1" applyFill="1" applyBorder="1" applyAlignment="1">
      <alignment horizontal="center" vertical="center"/>
    </xf>
    <xf numFmtId="165" fontId="28" fillId="0" borderId="0" xfId="0" applyNumberFormat="1" applyFont="1" applyFill="1" applyBorder="1" applyAlignment="1">
      <alignment vertical="center"/>
    </xf>
    <xf numFmtId="0" fontId="28" fillId="0" borderId="34" xfId="0" applyFont="1" applyBorder="1" applyAlignment="1">
      <alignment horizontal="right" vertical="top" wrapText="1"/>
    </xf>
    <xf numFmtId="0" fontId="28" fillId="0" borderId="42" xfId="0" applyFont="1" applyBorder="1" applyAlignment="1">
      <alignment horizontal="right" vertical="top" wrapText="1"/>
    </xf>
    <xf numFmtId="0" fontId="28" fillId="0" borderId="35" xfId="0" applyFont="1" applyBorder="1" applyAlignment="1">
      <alignment horizontal="right" vertical="top" wrapText="1"/>
    </xf>
    <xf numFmtId="0" fontId="38" fillId="0" borderId="6" xfId="0" applyFont="1" applyBorder="1" applyAlignment="1">
      <alignment horizontal="right" vertical="center"/>
    </xf>
    <xf numFmtId="0" fontId="38" fillId="0" borderId="56" xfId="0" applyFont="1" applyBorder="1" applyAlignment="1">
      <alignment horizontal="center" vertical="center"/>
    </xf>
    <xf numFmtId="0" fontId="38" fillId="0" borderId="33" xfId="0" applyFont="1" applyBorder="1" applyAlignment="1">
      <alignment horizontal="center" vertical="center"/>
    </xf>
    <xf numFmtId="0" fontId="33" fillId="0" borderId="56" xfId="0" applyFont="1" applyBorder="1" applyAlignment="1">
      <alignment horizontal="center" vertical="center"/>
    </xf>
    <xf numFmtId="0" fontId="33" fillId="0" borderId="60" xfId="0" applyFont="1" applyBorder="1" applyAlignment="1">
      <alignment horizontal="center" vertical="center"/>
    </xf>
    <xf numFmtId="0" fontId="33" fillId="0" borderId="33" xfId="0" applyFont="1" applyBorder="1" applyAlignment="1">
      <alignment horizontal="center" vertical="center"/>
    </xf>
    <xf numFmtId="0" fontId="38" fillId="0" borderId="56" xfId="0" applyFont="1" applyBorder="1" applyAlignment="1">
      <alignment horizontal="right" vertical="center"/>
    </xf>
    <xf numFmtId="0" fontId="38" fillId="0" borderId="60" xfId="0" applyFont="1" applyBorder="1" applyAlignment="1">
      <alignment horizontal="right" vertical="center"/>
    </xf>
    <xf numFmtId="0" fontId="38" fillId="0" borderId="33" xfId="0" applyFont="1" applyBorder="1" applyAlignment="1">
      <alignment horizontal="right" vertical="center"/>
    </xf>
    <xf numFmtId="0" fontId="38" fillId="0" borderId="56" xfId="0" applyFont="1" applyBorder="1" applyAlignment="1">
      <alignment horizontal="center" vertical="center" wrapText="1"/>
    </xf>
    <xf numFmtId="0" fontId="38" fillId="0" borderId="60" xfId="0" applyFont="1" applyBorder="1" applyAlignment="1">
      <alignment horizontal="center" vertical="center" wrapText="1"/>
    </xf>
    <xf numFmtId="0" fontId="38" fillId="0" borderId="33" xfId="0" applyFont="1" applyBorder="1" applyAlignment="1">
      <alignment horizontal="center" vertical="center" wrapText="1"/>
    </xf>
    <xf numFmtId="0" fontId="32" fillId="2" borderId="55" xfId="0" applyFont="1" applyFill="1" applyBorder="1" applyAlignment="1">
      <alignment horizontal="center" vertical="center"/>
    </xf>
    <xf numFmtId="0" fontId="32" fillId="2" borderId="5" xfId="0" applyFont="1" applyFill="1" applyBorder="1" applyAlignment="1">
      <alignment horizontal="center" vertical="center"/>
    </xf>
    <xf numFmtId="0" fontId="74" fillId="8" borderId="55" xfId="0" applyFont="1" applyFill="1" applyBorder="1" applyAlignment="1">
      <alignment horizontal="center" vertical="center"/>
    </xf>
    <xf numFmtId="0" fontId="74" fillId="8" borderId="2" xfId="0" applyFont="1" applyFill="1" applyBorder="1" applyAlignment="1">
      <alignment horizontal="center" vertical="center"/>
    </xf>
    <xf numFmtId="0" fontId="74" fillId="8" borderId="5" xfId="0" applyFont="1" applyFill="1" applyBorder="1" applyAlignment="1">
      <alignment horizontal="center" vertical="center"/>
    </xf>
    <xf numFmtId="0" fontId="48" fillId="3" borderId="28" xfId="0" applyFont="1" applyFill="1" applyBorder="1" applyAlignment="1">
      <alignment horizontal="center" vertical="center"/>
    </xf>
    <xf numFmtId="0" fontId="48" fillId="3" borderId="30" xfId="0" applyFont="1" applyFill="1" applyBorder="1" applyAlignment="1">
      <alignment horizontal="center" vertical="center"/>
    </xf>
    <xf numFmtId="0" fontId="48" fillId="3" borderId="29" xfId="0" applyFont="1" applyFill="1" applyBorder="1" applyAlignment="1">
      <alignment horizontal="center" vertical="center"/>
    </xf>
    <xf numFmtId="0" fontId="34" fillId="3" borderId="55" xfId="0" applyFont="1" applyFill="1" applyBorder="1" applyAlignment="1">
      <alignment horizontal="center" vertical="center"/>
    </xf>
    <xf numFmtId="0" fontId="34" fillId="3" borderId="2" xfId="0" applyFont="1" applyFill="1" applyBorder="1" applyAlignment="1">
      <alignment horizontal="center" vertical="center"/>
    </xf>
    <xf numFmtId="0" fontId="34" fillId="3" borderId="5" xfId="0" applyFont="1" applyFill="1" applyBorder="1" applyAlignment="1">
      <alignment horizontal="center" vertical="center"/>
    </xf>
    <xf numFmtId="0" fontId="48" fillId="3" borderId="55" xfId="0" applyFont="1" applyFill="1" applyBorder="1" applyAlignment="1">
      <alignment horizontal="center" vertical="center"/>
    </xf>
    <xf numFmtId="0" fontId="48" fillId="3" borderId="2" xfId="0" applyFont="1" applyFill="1" applyBorder="1" applyAlignment="1">
      <alignment horizontal="center" vertical="center"/>
    </xf>
    <xf numFmtId="0" fontId="48" fillId="3" borderId="5"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29" xfId="0" applyFont="1" applyFill="1" applyBorder="1" applyAlignment="1">
      <alignment horizontal="center" vertical="center"/>
    </xf>
    <xf numFmtId="165" fontId="66" fillId="0" borderId="86" xfId="0" applyNumberFormat="1" applyFont="1" applyBorder="1" applyAlignment="1">
      <alignment horizontal="center" vertical="center"/>
    </xf>
    <xf numFmtId="165" fontId="66" fillId="0" borderId="93" xfId="0" applyNumberFormat="1" applyFont="1" applyBorder="1" applyAlignment="1">
      <alignment horizontal="center" vertical="center"/>
    </xf>
    <xf numFmtId="165" fontId="66" fillId="0" borderId="94" xfId="0" applyNumberFormat="1" applyFont="1" applyBorder="1" applyAlignment="1">
      <alignment horizontal="center" vertical="center"/>
    </xf>
    <xf numFmtId="0" fontId="35" fillId="0" borderId="3" xfId="0" applyFont="1" applyBorder="1" applyAlignment="1">
      <alignment horizontal="center" vertical="center"/>
    </xf>
    <xf numFmtId="0" fontId="35" fillId="0" borderId="36" xfId="0" applyFont="1" applyBorder="1" applyAlignment="1">
      <alignment horizontal="center" vertical="center"/>
    </xf>
    <xf numFmtId="0" fontId="35" fillId="0" borderId="86" xfId="0" applyFont="1" applyBorder="1" applyAlignment="1">
      <alignment horizontal="center" vertical="center" wrapText="1"/>
    </xf>
    <xf numFmtId="0" fontId="35" fillId="0" borderId="94"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95" xfId="0" applyFont="1" applyBorder="1" applyAlignment="1">
      <alignment horizontal="center" vertical="center" wrapText="1"/>
    </xf>
    <xf numFmtId="0" fontId="35" fillId="0" borderId="78" xfId="0" applyFont="1" applyBorder="1" applyAlignment="1">
      <alignment horizontal="center" vertical="center" wrapText="1"/>
    </xf>
    <xf numFmtId="0" fontId="35" fillId="0" borderId="96" xfId="0" applyFont="1" applyBorder="1" applyAlignment="1">
      <alignment horizontal="center" vertical="center" wrapText="1"/>
    </xf>
    <xf numFmtId="170" fontId="2" fillId="0" borderId="86" xfId="0" applyNumberFormat="1" applyFont="1" applyBorder="1" applyAlignment="1">
      <alignment horizontal="center" vertical="center"/>
    </xf>
    <xf numFmtId="170" fontId="2" fillId="0" borderId="93" xfId="0" applyNumberFormat="1" applyFont="1" applyBorder="1" applyAlignment="1">
      <alignment horizontal="center" vertical="center"/>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4" fillId="3" borderId="55" xfId="0" applyFont="1" applyFill="1" applyBorder="1" applyAlignment="1">
      <alignment horizontal="center" vertical="center" wrapText="1"/>
    </xf>
    <xf numFmtId="0" fontId="34" fillId="3" borderId="5" xfId="0" applyFont="1" applyFill="1" applyBorder="1" applyAlignment="1">
      <alignment horizontal="center" vertical="center" wrapText="1"/>
    </xf>
    <xf numFmtId="169" fontId="15" fillId="0" borderId="79" xfId="0" applyNumberFormat="1" applyFont="1" applyBorder="1" applyAlignment="1">
      <alignment horizontal="center" vertical="center"/>
    </xf>
    <xf numFmtId="169" fontId="0" fillId="0" borderId="51" xfId="0" applyNumberFormat="1" applyFont="1" applyBorder="1" applyAlignment="1">
      <alignment horizontal="center" vertical="center"/>
    </xf>
    <xf numFmtId="165" fontId="3" fillId="0" borderId="31" xfId="0" applyNumberFormat="1" applyFont="1" applyBorder="1" applyAlignment="1">
      <alignment horizontal="center" vertical="center"/>
    </xf>
    <xf numFmtId="165" fontId="66" fillId="0" borderId="50" xfId="0" applyNumberFormat="1" applyFont="1" applyBorder="1" applyAlignment="1">
      <alignment horizontal="center" vertical="center"/>
    </xf>
    <xf numFmtId="165" fontId="3" fillId="0" borderId="14" xfId="0" applyNumberFormat="1" applyFont="1" applyBorder="1" applyAlignment="1">
      <alignment horizontal="center" vertical="center"/>
    </xf>
    <xf numFmtId="170" fontId="2" fillId="0" borderId="83" xfId="0" applyNumberFormat="1" applyFont="1" applyBorder="1" applyAlignment="1">
      <alignment horizontal="center" vertical="center"/>
    </xf>
    <xf numFmtId="0" fontId="67" fillId="8" borderId="55" xfId="0" applyFont="1" applyFill="1" applyBorder="1" applyAlignment="1">
      <alignment horizontal="center" vertical="center"/>
    </xf>
    <xf numFmtId="0" fontId="67" fillId="8" borderId="2" xfId="0" applyFont="1" applyFill="1" applyBorder="1" applyAlignment="1">
      <alignment horizontal="center" vertical="center"/>
    </xf>
    <xf numFmtId="0" fontId="67" fillId="8" borderId="5" xfId="0" applyFont="1" applyFill="1" applyBorder="1" applyAlignment="1">
      <alignment horizontal="center" vertical="center"/>
    </xf>
    <xf numFmtId="0" fontId="34" fillId="3" borderId="2" xfId="0" applyFont="1" applyFill="1" applyBorder="1" applyAlignment="1">
      <alignment horizontal="center" vertical="center" wrapText="1"/>
    </xf>
    <xf numFmtId="165" fontId="66" fillId="0" borderId="83" xfId="0" applyNumberFormat="1" applyFont="1" applyBorder="1" applyAlignment="1">
      <alignment horizontal="center" vertical="center"/>
    </xf>
    <xf numFmtId="165" fontId="66" fillId="0" borderId="31" xfId="0" applyNumberFormat="1" applyFont="1" applyBorder="1" applyAlignment="1">
      <alignment horizontal="center" vertical="center"/>
    </xf>
    <xf numFmtId="165" fontId="3" fillId="0" borderId="94" xfId="0" applyNumberFormat="1" applyFont="1" applyBorder="1" applyAlignment="1">
      <alignment horizontal="center" vertical="center"/>
    </xf>
    <xf numFmtId="165" fontId="3" fillId="0" borderId="93" xfId="0" applyNumberFormat="1" applyFont="1" applyBorder="1" applyAlignment="1">
      <alignment horizontal="center" vertical="center"/>
    </xf>
    <xf numFmtId="169" fontId="15" fillId="0" borderId="93" xfId="0" applyNumberFormat="1" applyFont="1" applyBorder="1" applyAlignment="1">
      <alignment horizontal="center" vertical="center"/>
    </xf>
    <xf numFmtId="169" fontId="0" fillId="0" borderId="31" xfId="0" applyNumberFormat="1" applyFont="1" applyBorder="1" applyAlignment="1">
      <alignment horizontal="center" vertical="center"/>
    </xf>
    <xf numFmtId="169" fontId="2" fillId="0" borderId="83" xfId="0" applyNumberFormat="1" applyFont="1" applyBorder="1" applyAlignment="1">
      <alignment horizontal="center" vertical="center"/>
    </xf>
    <xf numFmtId="169" fontId="2" fillId="0" borderId="93" xfId="0" applyNumberFormat="1" applyFont="1" applyBorder="1" applyAlignment="1">
      <alignment horizontal="center" vertical="center"/>
    </xf>
    <xf numFmtId="169" fontId="2" fillId="0" borderId="31" xfId="0" applyNumberFormat="1" applyFont="1" applyBorder="1" applyAlignment="1">
      <alignment horizontal="center" vertical="center"/>
    </xf>
    <xf numFmtId="0" fontId="38" fillId="3" borderId="55" xfId="0" applyFont="1" applyFill="1" applyBorder="1" applyAlignment="1">
      <alignment horizontal="center" vertical="center"/>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5" Type="http://schemas.openxmlformats.org/officeDocument/2006/relationships/image" Target="../media/image13.emf"/><Relationship Id="rId10" Type="http://schemas.openxmlformats.org/officeDocument/2006/relationships/image" Target="../media/image18.emf"/><Relationship Id="rId4" Type="http://schemas.openxmlformats.org/officeDocument/2006/relationships/image" Target="../media/image12.emf"/><Relationship Id="rId9"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3</xdr:col>
      <xdr:colOff>847724</xdr:colOff>
      <xdr:row>7</xdr:row>
      <xdr:rowOff>177165</xdr:rowOff>
    </xdr:from>
    <xdr:to>
      <xdr:col>6</xdr:col>
      <xdr:colOff>45720</xdr:colOff>
      <xdr:row>8</xdr:row>
      <xdr:rowOff>160020</xdr:rowOff>
    </xdr:to>
    <xdr:sp macro="" textlink="">
      <xdr:nvSpPr>
        <xdr:cNvPr id="2" name="TextBox 1"/>
        <xdr:cNvSpPr txBox="1"/>
      </xdr:nvSpPr>
      <xdr:spPr>
        <a:xfrm>
          <a:off x="2440304" y="1510665"/>
          <a:ext cx="1263016" cy="15811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Longitudinal Length of Structure </a:t>
          </a:r>
          <a:r>
            <a:rPr lang="en-US" sz="800" baseline="0"/>
            <a:t>"L"</a:t>
          </a:r>
          <a:endParaRPr lang="en-US" sz="800"/>
        </a:p>
      </xdr:txBody>
    </xdr:sp>
    <xdr:clientData/>
  </xdr:twoCellAnchor>
  <xdr:twoCellAnchor>
    <xdr:from>
      <xdr:col>3</xdr:col>
      <xdr:colOff>843280</xdr:colOff>
      <xdr:row>17</xdr:row>
      <xdr:rowOff>3810</xdr:rowOff>
    </xdr:from>
    <xdr:to>
      <xdr:col>3</xdr:col>
      <xdr:colOff>1163320</xdr:colOff>
      <xdr:row>18</xdr:row>
      <xdr:rowOff>3810</xdr:rowOff>
    </xdr:to>
    <xdr:sp macro="" textlink="">
      <xdr:nvSpPr>
        <xdr:cNvPr id="4" name="TextBox 3"/>
        <xdr:cNvSpPr txBox="1"/>
      </xdr:nvSpPr>
      <xdr:spPr>
        <a:xfrm>
          <a:off x="2435860" y="3021330"/>
          <a:ext cx="0" cy="1676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c</a:t>
          </a:r>
        </a:p>
      </xdr:txBody>
    </xdr:sp>
    <xdr:clientData/>
  </xdr:twoCellAnchor>
  <xdr:twoCellAnchor>
    <xdr:from>
      <xdr:col>3</xdr:col>
      <xdr:colOff>978535</xdr:colOff>
      <xdr:row>15</xdr:row>
      <xdr:rowOff>48895</xdr:rowOff>
    </xdr:from>
    <xdr:to>
      <xdr:col>3</xdr:col>
      <xdr:colOff>1186181</xdr:colOff>
      <xdr:row>16</xdr:row>
      <xdr:rowOff>48895</xdr:rowOff>
    </xdr:to>
    <xdr:sp macro="" textlink="">
      <xdr:nvSpPr>
        <xdr:cNvPr id="6" name="TextBox 5"/>
        <xdr:cNvSpPr txBox="1"/>
      </xdr:nvSpPr>
      <xdr:spPr>
        <a:xfrm>
          <a:off x="4041775" y="2868295"/>
          <a:ext cx="207646" cy="19050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t</a:t>
          </a:r>
          <a:endParaRPr lang="en-US" sz="900" baseline="-25000"/>
        </a:p>
      </xdr:txBody>
    </xdr:sp>
    <xdr:clientData/>
  </xdr:twoCellAnchor>
  <xdr:twoCellAnchor>
    <xdr:from>
      <xdr:col>6</xdr:col>
      <xdr:colOff>38100</xdr:colOff>
      <xdr:row>16</xdr:row>
      <xdr:rowOff>137160</xdr:rowOff>
    </xdr:from>
    <xdr:to>
      <xdr:col>6</xdr:col>
      <xdr:colOff>297180</xdr:colOff>
      <xdr:row>17</xdr:row>
      <xdr:rowOff>160020</xdr:rowOff>
    </xdr:to>
    <xdr:sp macro="" textlink="">
      <xdr:nvSpPr>
        <xdr:cNvPr id="25901" name="Oval 366"/>
        <xdr:cNvSpPr>
          <a:spLocks noChangeArrowheads="1"/>
        </xdr:cNvSpPr>
      </xdr:nvSpPr>
      <xdr:spPr bwMode="auto">
        <a:xfrm>
          <a:off x="5913120" y="3147060"/>
          <a:ext cx="259080" cy="213360"/>
        </a:xfrm>
        <a:prstGeom prst="ellipse">
          <a:avLst/>
        </a:prstGeom>
        <a:solidFill>
          <a:srgbClr val="FFFFFF"/>
        </a:solidFill>
        <a:ln w="3175" algn="ctr">
          <a:solidFill>
            <a:srgbClr val="000000"/>
          </a:solidFill>
          <a:round/>
          <a:headEnd/>
          <a:tailEnd/>
        </a:ln>
      </xdr:spPr>
    </xdr:sp>
    <xdr:clientData/>
  </xdr:twoCellAnchor>
  <xdr:twoCellAnchor>
    <xdr:from>
      <xdr:col>5</xdr:col>
      <xdr:colOff>106045</xdr:colOff>
      <xdr:row>13</xdr:row>
      <xdr:rowOff>97155</xdr:rowOff>
    </xdr:from>
    <xdr:to>
      <xdr:col>5</xdr:col>
      <xdr:colOff>327025</xdr:colOff>
      <xdr:row>14</xdr:row>
      <xdr:rowOff>97155</xdr:rowOff>
    </xdr:to>
    <xdr:sp macro="" textlink="">
      <xdr:nvSpPr>
        <xdr:cNvPr id="8" name="TextBox 7"/>
        <xdr:cNvSpPr txBox="1"/>
      </xdr:nvSpPr>
      <xdr:spPr>
        <a:xfrm>
          <a:off x="3154045" y="2444115"/>
          <a:ext cx="220980" cy="1676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A</a:t>
          </a:r>
        </a:p>
      </xdr:txBody>
    </xdr:sp>
    <xdr:clientData/>
  </xdr:twoCellAnchor>
  <xdr:twoCellAnchor>
    <xdr:from>
      <xdr:col>5</xdr:col>
      <xdr:colOff>115570</xdr:colOff>
      <xdr:row>17</xdr:row>
      <xdr:rowOff>85725</xdr:rowOff>
    </xdr:from>
    <xdr:to>
      <xdr:col>5</xdr:col>
      <xdr:colOff>336550</xdr:colOff>
      <xdr:row>18</xdr:row>
      <xdr:rowOff>85725</xdr:rowOff>
    </xdr:to>
    <xdr:sp macro="" textlink="">
      <xdr:nvSpPr>
        <xdr:cNvPr id="9" name="TextBox 8"/>
        <xdr:cNvSpPr txBox="1"/>
      </xdr:nvSpPr>
      <xdr:spPr>
        <a:xfrm>
          <a:off x="3163570" y="3103245"/>
          <a:ext cx="220980" cy="1676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A</a:t>
          </a:r>
        </a:p>
      </xdr:txBody>
    </xdr:sp>
    <xdr:clientData/>
  </xdr:twoCellAnchor>
  <xdr:twoCellAnchor>
    <xdr:from>
      <xdr:col>4</xdr:col>
      <xdr:colOff>571500</xdr:colOff>
      <xdr:row>15</xdr:row>
      <xdr:rowOff>74295</xdr:rowOff>
    </xdr:from>
    <xdr:to>
      <xdr:col>4</xdr:col>
      <xdr:colOff>792480</xdr:colOff>
      <xdr:row>16</xdr:row>
      <xdr:rowOff>74295</xdr:rowOff>
    </xdr:to>
    <xdr:sp macro="" textlink="">
      <xdr:nvSpPr>
        <xdr:cNvPr id="10" name="TextBox 9"/>
        <xdr:cNvSpPr txBox="1"/>
      </xdr:nvSpPr>
      <xdr:spPr>
        <a:xfrm>
          <a:off x="3009900" y="2756535"/>
          <a:ext cx="38100" cy="1676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R</a:t>
          </a:r>
        </a:p>
      </xdr:txBody>
    </xdr:sp>
    <xdr:clientData/>
  </xdr:twoCellAnchor>
  <xdr:twoCellAnchor>
    <xdr:from>
      <xdr:col>1</xdr:col>
      <xdr:colOff>57150</xdr:colOff>
      <xdr:row>9</xdr:row>
      <xdr:rowOff>184785</xdr:rowOff>
    </xdr:from>
    <xdr:to>
      <xdr:col>1</xdr:col>
      <xdr:colOff>314325</xdr:colOff>
      <xdr:row>11</xdr:row>
      <xdr:rowOff>22860</xdr:rowOff>
    </xdr:to>
    <xdr:sp macro="" textlink="">
      <xdr:nvSpPr>
        <xdr:cNvPr id="11" name="TextBox 10"/>
        <xdr:cNvSpPr txBox="1"/>
      </xdr:nvSpPr>
      <xdr:spPr>
        <a:xfrm>
          <a:off x="666750" y="1845945"/>
          <a:ext cx="257175" cy="18859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R</a:t>
          </a:r>
        </a:p>
      </xdr:txBody>
    </xdr:sp>
    <xdr:clientData/>
  </xdr:twoCellAnchor>
  <xdr:twoCellAnchor>
    <xdr:from>
      <xdr:col>2</xdr:col>
      <xdr:colOff>146685</xdr:colOff>
      <xdr:row>7</xdr:row>
      <xdr:rowOff>60325</xdr:rowOff>
    </xdr:from>
    <xdr:to>
      <xdr:col>2</xdr:col>
      <xdr:colOff>403860</xdr:colOff>
      <xdr:row>8</xdr:row>
      <xdr:rowOff>34290</xdr:rowOff>
    </xdr:to>
    <xdr:sp macro="" textlink="">
      <xdr:nvSpPr>
        <xdr:cNvPr id="12" name="TextBox 11"/>
        <xdr:cNvSpPr txBox="1"/>
      </xdr:nvSpPr>
      <xdr:spPr>
        <a:xfrm>
          <a:off x="1365885" y="1401445"/>
          <a:ext cx="257175" cy="14160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S</a:t>
          </a:r>
        </a:p>
      </xdr:txBody>
    </xdr:sp>
    <xdr:clientData/>
  </xdr:twoCellAnchor>
  <xdr:twoCellAnchor>
    <xdr:from>
      <xdr:col>2</xdr:col>
      <xdr:colOff>2301240</xdr:colOff>
      <xdr:row>10</xdr:row>
      <xdr:rowOff>213360</xdr:rowOff>
    </xdr:from>
    <xdr:to>
      <xdr:col>2</xdr:col>
      <xdr:colOff>1996440</xdr:colOff>
      <xdr:row>10</xdr:row>
      <xdr:rowOff>213360</xdr:rowOff>
    </xdr:to>
    <xdr:cxnSp macro="">
      <xdr:nvCxnSpPr>
        <xdr:cNvPr id="25907" name="Straight Connector 59"/>
        <xdr:cNvCxnSpPr>
          <a:cxnSpLocks noChangeShapeType="1"/>
        </xdr:cNvCxnSpPr>
      </xdr:nvCxnSpPr>
      <xdr:spPr bwMode="auto">
        <a:xfrm rot="10800000">
          <a:off x="3063240" y="2057400"/>
          <a:ext cx="0" cy="0"/>
        </a:xfrm>
        <a:prstGeom prst="line">
          <a:avLst/>
        </a:prstGeom>
        <a:noFill/>
        <a:ln w="3175" algn="ctr">
          <a:solidFill>
            <a:srgbClr val="000000"/>
          </a:solidFill>
          <a:round/>
          <a:headEnd/>
          <a:tailEnd/>
        </a:ln>
      </xdr:spPr>
    </xdr:cxnSp>
    <xdr:clientData/>
  </xdr:twoCellAnchor>
  <xdr:twoCellAnchor>
    <xdr:from>
      <xdr:col>2</xdr:col>
      <xdr:colOff>2301240</xdr:colOff>
      <xdr:row>11</xdr:row>
      <xdr:rowOff>76200</xdr:rowOff>
    </xdr:from>
    <xdr:to>
      <xdr:col>2</xdr:col>
      <xdr:colOff>1996440</xdr:colOff>
      <xdr:row>11</xdr:row>
      <xdr:rowOff>76200</xdr:rowOff>
    </xdr:to>
    <xdr:cxnSp macro="">
      <xdr:nvCxnSpPr>
        <xdr:cNvPr id="25908" name="Straight Connector 63"/>
        <xdr:cNvCxnSpPr>
          <a:cxnSpLocks noChangeShapeType="1"/>
        </xdr:cNvCxnSpPr>
      </xdr:nvCxnSpPr>
      <xdr:spPr bwMode="auto">
        <a:xfrm>
          <a:off x="3063240" y="2133600"/>
          <a:ext cx="0" cy="0"/>
        </a:xfrm>
        <a:prstGeom prst="line">
          <a:avLst/>
        </a:prstGeom>
        <a:noFill/>
        <a:ln w="3175" algn="ctr">
          <a:solidFill>
            <a:srgbClr val="000000"/>
          </a:solidFill>
          <a:round/>
          <a:headEnd/>
          <a:tailEnd/>
        </a:ln>
      </xdr:spPr>
    </xdr:cxnSp>
    <xdr:clientData/>
  </xdr:twoCellAnchor>
  <xdr:twoCellAnchor>
    <xdr:from>
      <xdr:col>1</xdr:col>
      <xdr:colOff>569666</xdr:colOff>
      <xdr:row>8</xdr:row>
      <xdr:rowOff>187126</xdr:rowOff>
    </xdr:from>
    <xdr:to>
      <xdr:col>2</xdr:col>
      <xdr:colOff>912566</xdr:colOff>
      <xdr:row>15</xdr:row>
      <xdr:rowOff>129277</xdr:rowOff>
    </xdr:to>
    <xdr:sp macro="" textlink="">
      <xdr:nvSpPr>
        <xdr:cNvPr id="15" name="Chord 14"/>
        <xdr:cNvSpPr/>
      </xdr:nvSpPr>
      <xdr:spPr bwMode="auto">
        <a:xfrm rot="5400000">
          <a:off x="933870" y="1918422"/>
          <a:ext cx="1138491" cy="647700"/>
        </a:xfrm>
        <a:prstGeom prst="chord">
          <a:avLst>
            <a:gd name="adj1" fmla="val 5400845"/>
            <a:gd name="adj2" fmla="val 16200000"/>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2</xdr:col>
      <xdr:colOff>746760</xdr:colOff>
      <xdr:row>11</xdr:row>
      <xdr:rowOff>154305</xdr:rowOff>
    </xdr:from>
    <xdr:to>
      <xdr:col>2</xdr:col>
      <xdr:colOff>849630</xdr:colOff>
      <xdr:row>11</xdr:row>
      <xdr:rowOff>154305</xdr:rowOff>
    </xdr:to>
    <xdr:cxnSp macro="">
      <xdr:nvCxnSpPr>
        <xdr:cNvPr id="16" name="Straight Connector 15"/>
        <xdr:cNvCxnSpPr/>
      </xdr:nvCxnSpPr>
      <xdr:spPr bwMode="auto">
        <a:xfrm>
          <a:off x="1828800" y="2165985"/>
          <a:ext cx="0" cy="0"/>
        </a:xfrm>
        <a:prstGeom prst="lin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853440</xdr:colOff>
      <xdr:row>11</xdr:row>
      <xdr:rowOff>152400</xdr:rowOff>
    </xdr:from>
    <xdr:to>
      <xdr:col>2</xdr:col>
      <xdr:colOff>853440</xdr:colOff>
      <xdr:row>12</xdr:row>
      <xdr:rowOff>60960</xdr:rowOff>
    </xdr:to>
    <xdr:cxnSp macro="">
      <xdr:nvCxnSpPr>
        <xdr:cNvPr id="25911" name="Straight Connector 11"/>
        <xdr:cNvCxnSpPr>
          <a:cxnSpLocks noChangeShapeType="1"/>
        </xdr:cNvCxnSpPr>
      </xdr:nvCxnSpPr>
      <xdr:spPr bwMode="auto">
        <a:xfrm rot="5400000">
          <a:off x="1870710" y="2259330"/>
          <a:ext cx="99060" cy="0"/>
        </a:xfrm>
        <a:prstGeom prst="line">
          <a:avLst/>
        </a:prstGeom>
        <a:noFill/>
        <a:ln w="6350" algn="ctr">
          <a:solidFill>
            <a:srgbClr val="000000"/>
          </a:solidFill>
          <a:round/>
          <a:headEnd/>
          <a:tailEnd/>
        </a:ln>
      </xdr:spPr>
    </xdr:cxnSp>
    <xdr:clientData/>
  </xdr:twoCellAnchor>
  <xdr:twoCellAnchor>
    <xdr:from>
      <xdr:col>2</xdr:col>
      <xdr:colOff>845820</xdr:colOff>
      <xdr:row>12</xdr:row>
      <xdr:rowOff>60960</xdr:rowOff>
    </xdr:from>
    <xdr:to>
      <xdr:col>2</xdr:col>
      <xdr:colOff>967740</xdr:colOff>
      <xdr:row>12</xdr:row>
      <xdr:rowOff>60960</xdr:rowOff>
    </xdr:to>
    <xdr:cxnSp macro="">
      <xdr:nvCxnSpPr>
        <xdr:cNvPr id="25912" name="Straight Connector 13"/>
        <xdr:cNvCxnSpPr>
          <a:cxnSpLocks noChangeShapeType="1"/>
        </xdr:cNvCxnSpPr>
      </xdr:nvCxnSpPr>
      <xdr:spPr bwMode="auto">
        <a:xfrm>
          <a:off x="1912620" y="2308860"/>
          <a:ext cx="121920" cy="0"/>
        </a:xfrm>
        <a:prstGeom prst="line">
          <a:avLst/>
        </a:prstGeom>
        <a:noFill/>
        <a:ln w="6350" algn="ctr">
          <a:solidFill>
            <a:srgbClr val="000000"/>
          </a:solidFill>
          <a:round/>
          <a:headEnd/>
          <a:tailEnd/>
        </a:ln>
      </xdr:spPr>
    </xdr:cxnSp>
    <xdr:clientData/>
  </xdr:twoCellAnchor>
  <xdr:twoCellAnchor>
    <xdr:from>
      <xdr:col>2</xdr:col>
      <xdr:colOff>967740</xdr:colOff>
      <xdr:row>11</xdr:row>
      <xdr:rowOff>152400</xdr:rowOff>
    </xdr:from>
    <xdr:to>
      <xdr:col>2</xdr:col>
      <xdr:colOff>967740</xdr:colOff>
      <xdr:row>12</xdr:row>
      <xdr:rowOff>60960</xdr:rowOff>
    </xdr:to>
    <xdr:cxnSp macro="">
      <xdr:nvCxnSpPr>
        <xdr:cNvPr id="25913" name="Straight Connector 17"/>
        <xdr:cNvCxnSpPr>
          <a:cxnSpLocks noChangeShapeType="1"/>
        </xdr:cNvCxnSpPr>
      </xdr:nvCxnSpPr>
      <xdr:spPr bwMode="auto">
        <a:xfrm rot="5400000" flipH="1" flipV="1">
          <a:off x="1985010" y="2259330"/>
          <a:ext cx="99060" cy="0"/>
        </a:xfrm>
        <a:prstGeom prst="line">
          <a:avLst/>
        </a:prstGeom>
        <a:noFill/>
        <a:ln w="6350" algn="ctr">
          <a:solidFill>
            <a:srgbClr val="000000"/>
          </a:solidFill>
          <a:round/>
          <a:headEnd/>
          <a:tailEnd/>
        </a:ln>
      </xdr:spPr>
    </xdr:cxnSp>
    <xdr:clientData/>
  </xdr:twoCellAnchor>
  <xdr:twoCellAnchor>
    <xdr:from>
      <xdr:col>2</xdr:col>
      <xdr:colOff>967740</xdr:colOff>
      <xdr:row>11</xdr:row>
      <xdr:rowOff>152400</xdr:rowOff>
    </xdr:from>
    <xdr:to>
      <xdr:col>2</xdr:col>
      <xdr:colOff>1059180</xdr:colOff>
      <xdr:row>11</xdr:row>
      <xdr:rowOff>152400</xdr:rowOff>
    </xdr:to>
    <xdr:cxnSp macro="">
      <xdr:nvCxnSpPr>
        <xdr:cNvPr id="25914" name="Straight Connector 19"/>
        <xdr:cNvCxnSpPr>
          <a:cxnSpLocks noChangeShapeType="1"/>
        </xdr:cNvCxnSpPr>
      </xdr:nvCxnSpPr>
      <xdr:spPr bwMode="auto">
        <a:xfrm>
          <a:off x="2034540" y="2209800"/>
          <a:ext cx="91440" cy="0"/>
        </a:xfrm>
        <a:prstGeom prst="line">
          <a:avLst/>
        </a:prstGeom>
        <a:noFill/>
        <a:ln w="6350" algn="ctr">
          <a:solidFill>
            <a:srgbClr val="000000"/>
          </a:solidFill>
          <a:round/>
          <a:headEnd/>
          <a:tailEnd/>
        </a:ln>
      </xdr:spPr>
    </xdr:cxnSp>
    <xdr:clientData/>
  </xdr:twoCellAnchor>
  <xdr:twoCellAnchor>
    <xdr:from>
      <xdr:col>2</xdr:col>
      <xdr:colOff>1059180</xdr:colOff>
      <xdr:row>11</xdr:row>
      <xdr:rowOff>152400</xdr:rowOff>
    </xdr:from>
    <xdr:to>
      <xdr:col>2</xdr:col>
      <xdr:colOff>1059180</xdr:colOff>
      <xdr:row>12</xdr:row>
      <xdr:rowOff>144780</xdr:rowOff>
    </xdr:to>
    <xdr:cxnSp macro="">
      <xdr:nvCxnSpPr>
        <xdr:cNvPr id="25915" name="Straight Connector 25"/>
        <xdr:cNvCxnSpPr>
          <a:cxnSpLocks noChangeShapeType="1"/>
        </xdr:cNvCxnSpPr>
      </xdr:nvCxnSpPr>
      <xdr:spPr bwMode="auto">
        <a:xfrm rot="5400000">
          <a:off x="2034540" y="2301240"/>
          <a:ext cx="182880" cy="0"/>
        </a:xfrm>
        <a:prstGeom prst="line">
          <a:avLst/>
        </a:prstGeom>
        <a:noFill/>
        <a:ln w="6350" algn="ctr">
          <a:solidFill>
            <a:srgbClr val="000000"/>
          </a:solidFill>
          <a:round/>
          <a:headEnd/>
          <a:tailEnd/>
        </a:ln>
      </xdr:spPr>
    </xdr:cxnSp>
    <xdr:clientData/>
  </xdr:twoCellAnchor>
  <xdr:twoCellAnchor>
    <xdr:from>
      <xdr:col>2</xdr:col>
      <xdr:colOff>746760</xdr:colOff>
      <xdr:row>12</xdr:row>
      <xdr:rowOff>144780</xdr:rowOff>
    </xdr:from>
    <xdr:to>
      <xdr:col>2</xdr:col>
      <xdr:colOff>1059180</xdr:colOff>
      <xdr:row>12</xdr:row>
      <xdr:rowOff>144780</xdr:rowOff>
    </xdr:to>
    <xdr:cxnSp macro="">
      <xdr:nvCxnSpPr>
        <xdr:cNvPr id="25916" name="Straight Connector 27"/>
        <xdr:cNvCxnSpPr>
          <a:cxnSpLocks noChangeShapeType="1"/>
        </xdr:cNvCxnSpPr>
      </xdr:nvCxnSpPr>
      <xdr:spPr bwMode="auto">
        <a:xfrm rot="10800000">
          <a:off x="1813560" y="2392680"/>
          <a:ext cx="312420" cy="0"/>
        </a:xfrm>
        <a:prstGeom prst="line">
          <a:avLst/>
        </a:prstGeom>
        <a:noFill/>
        <a:ln w="6350" algn="ctr">
          <a:solidFill>
            <a:srgbClr val="000000"/>
          </a:solidFill>
          <a:round/>
          <a:headEnd/>
          <a:tailEnd/>
        </a:ln>
      </xdr:spPr>
    </xdr:cxnSp>
    <xdr:clientData/>
  </xdr:twoCellAnchor>
  <xdr:twoCellAnchor>
    <xdr:from>
      <xdr:col>2</xdr:col>
      <xdr:colOff>746760</xdr:colOff>
      <xdr:row>11</xdr:row>
      <xdr:rowOff>152400</xdr:rowOff>
    </xdr:from>
    <xdr:to>
      <xdr:col>2</xdr:col>
      <xdr:colOff>746760</xdr:colOff>
      <xdr:row>12</xdr:row>
      <xdr:rowOff>144780</xdr:rowOff>
    </xdr:to>
    <xdr:cxnSp macro="">
      <xdr:nvCxnSpPr>
        <xdr:cNvPr id="25917" name="Straight Connector 29"/>
        <xdr:cNvCxnSpPr>
          <a:cxnSpLocks noChangeShapeType="1"/>
        </xdr:cNvCxnSpPr>
      </xdr:nvCxnSpPr>
      <xdr:spPr bwMode="auto">
        <a:xfrm rot="5400000" flipH="1" flipV="1">
          <a:off x="1722120" y="2301240"/>
          <a:ext cx="182880" cy="0"/>
        </a:xfrm>
        <a:prstGeom prst="line">
          <a:avLst/>
        </a:prstGeom>
        <a:noFill/>
        <a:ln w="6350" algn="ctr">
          <a:solidFill>
            <a:srgbClr val="000000"/>
          </a:solidFill>
          <a:round/>
          <a:headEnd/>
          <a:tailEnd/>
        </a:ln>
      </xdr:spPr>
    </xdr:cxnSp>
    <xdr:clientData/>
  </xdr:twoCellAnchor>
  <xdr:twoCellAnchor>
    <xdr:from>
      <xdr:col>1</xdr:col>
      <xdr:colOff>403860</xdr:colOff>
      <xdr:row>11</xdr:row>
      <xdr:rowOff>158115</xdr:rowOff>
    </xdr:from>
    <xdr:to>
      <xdr:col>1</xdr:col>
      <xdr:colOff>506730</xdr:colOff>
      <xdr:row>11</xdr:row>
      <xdr:rowOff>158115</xdr:rowOff>
    </xdr:to>
    <xdr:cxnSp macro="">
      <xdr:nvCxnSpPr>
        <xdr:cNvPr id="24" name="Straight Connector 23"/>
        <xdr:cNvCxnSpPr/>
      </xdr:nvCxnSpPr>
      <xdr:spPr bwMode="auto">
        <a:xfrm>
          <a:off x="1013460" y="2169795"/>
          <a:ext cx="102870" cy="0"/>
        </a:xfrm>
        <a:prstGeom prst="lin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502920</xdr:colOff>
      <xdr:row>11</xdr:row>
      <xdr:rowOff>160020</xdr:rowOff>
    </xdr:from>
    <xdr:to>
      <xdr:col>1</xdr:col>
      <xdr:colOff>502920</xdr:colOff>
      <xdr:row>12</xdr:row>
      <xdr:rowOff>68580</xdr:rowOff>
    </xdr:to>
    <xdr:cxnSp macro="">
      <xdr:nvCxnSpPr>
        <xdr:cNvPr id="25919" name="Straight Connector 75"/>
        <xdr:cNvCxnSpPr>
          <a:cxnSpLocks noChangeShapeType="1"/>
        </xdr:cNvCxnSpPr>
      </xdr:nvCxnSpPr>
      <xdr:spPr bwMode="auto">
        <a:xfrm rot="5400000">
          <a:off x="575310" y="2266950"/>
          <a:ext cx="99060" cy="0"/>
        </a:xfrm>
        <a:prstGeom prst="line">
          <a:avLst/>
        </a:prstGeom>
        <a:noFill/>
        <a:ln w="6350" algn="ctr">
          <a:solidFill>
            <a:srgbClr val="000000"/>
          </a:solidFill>
          <a:round/>
          <a:headEnd/>
          <a:tailEnd/>
        </a:ln>
      </xdr:spPr>
    </xdr:cxnSp>
    <xdr:clientData/>
  </xdr:twoCellAnchor>
  <xdr:twoCellAnchor>
    <xdr:from>
      <xdr:col>1</xdr:col>
      <xdr:colOff>502920</xdr:colOff>
      <xdr:row>12</xdr:row>
      <xdr:rowOff>68580</xdr:rowOff>
    </xdr:from>
    <xdr:to>
      <xdr:col>1</xdr:col>
      <xdr:colOff>624840</xdr:colOff>
      <xdr:row>12</xdr:row>
      <xdr:rowOff>68580</xdr:rowOff>
    </xdr:to>
    <xdr:cxnSp macro="">
      <xdr:nvCxnSpPr>
        <xdr:cNvPr id="25920" name="Straight Connector 76"/>
        <xdr:cNvCxnSpPr>
          <a:cxnSpLocks noChangeShapeType="1"/>
        </xdr:cNvCxnSpPr>
      </xdr:nvCxnSpPr>
      <xdr:spPr bwMode="auto">
        <a:xfrm>
          <a:off x="624840" y="2316480"/>
          <a:ext cx="121920" cy="0"/>
        </a:xfrm>
        <a:prstGeom prst="line">
          <a:avLst/>
        </a:prstGeom>
        <a:noFill/>
        <a:ln w="6350" algn="ctr">
          <a:solidFill>
            <a:srgbClr val="000000"/>
          </a:solidFill>
          <a:round/>
          <a:headEnd/>
          <a:tailEnd/>
        </a:ln>
      </xdr:spPr>
    </xdr:cxnSp>
    <xdr:clientData/>
  </xdr:twoCellAnchor>
  <xdr:twoCellAnchor>
    <xdr:from>
      <xdr:col>1</xdr:col>
      <xdr:colOff>624840</xdr:colOff>
      <xdr:row>11</xdr:row>
      <xdr:rowOff>160020</xdr:rowOff>
    </xdr:from>
    <xdr:to>
      <xdr:col>1</xdr:col>
      <xdr:colOff>624840</xdr:colOff>
      <xdr:row>12</xdr:row>
      <xdr:rowOff>68580</xdr:rowOff>
    </xdr:to>
    <xdr:cxnSp macro="">
      <xdr:nvCxnSpPr>
        <xdr:cNvPr id="25921" name="Straight Connector 77"/>
        <xdr:cNvCxnSpPr>
          <a:cxnSpLocks noChangeShapeType="1"/>
        </xdr:cNvCxnSpPr>
      </xdr:nvCxnSpPr>
      <xdr:spPr bwMode="auto">
        <a:xfrm rot="5400000" flipH="1" flipV="1">
          <a:off x="697230" y="2266950"/>
          <a:ext cx="99060" cy="0"/>
        </a:xfrm>
        <a:prstGeom prst="line">
          <a:avLst/>
        </a:prstGeom>
        <a:noFill/>
        <a:ln w="6350" algn="ctr">
          <a:solidFill>
            <a:srgbClr val="000000"/>
          </a:solidFill>
          <a:round/>
          <a:headEnd/>
          <a:tailEnd/>
        </a:ln>
      </xdr:spPr>
    </xdr:cxnSp>
    <xdr:clientData/>
  </xdr:twoCellAnchor>
  <xdr:twoCellAnchor>
    <xdr:from>
      <xdr:col>1</xdr:col>
      <xdr:colOff>624840</xdr:colOff>
      <xdr:row>11</xdr:row>
      <xdr:rowOff>160020</xdr:rowOff>
    </xdr:from>
    <xdr:to>
      <xdr:col>1</xdr:col>
      <xdr:colOff>716280</xdr:colOff>
      <xdr:row>11</xdr:row>
      <xdr:rowOff>160020</xdr:rowOff>
    </xdr:to>
    <xdr:cxnSp macro="">
      <xdr:nvCxnSpPr>
        <xdr:cNvPr id="25922" name="Straight Connector 78"/>
        <xdr:cNvCxnSpPr>
          <a:cxnSpLocks noChangeShapeType="1"/>
        </xdr:cNvCxnSpPr>
      </xdr:nvCxnSpPr>
      <xdr:spPr bwMode="auto">
        <a:xfrm>
          <a:off x="746760" y="2217420"/>
          <a:ext cx="91440" cy="0"/>
        </a:xfrm>
        <a:prstGeom prst="line">
          <a:avLst/>
        </a:prstGeom>
        <a:noFill/>
        <a:ln w="6350" algn="ctr">
          <a:solidFill>
            <a:srgbClr val="000000"/>
          </a:solidFill>
          <a:round/>
          <a:headEnd/>
          <a:tailEnd/>
        </a:ln>
      </xdr:spPr>
    </xdr:cxnSp>
    <xdr:clientData/>
  </xdr:twoCellAnchor>
  <xdr:twoCellAnchor>
    <xdr:from>
      <xdr:col>1</xdr:col>
      <xdr:colOff>716280</xdr:colOff>
      <xdr:row>11</xdr:row>
      <xdr:rowOff>160020</xdr:rowOff>
    </xdr:from>
    <xdr:to>
      <xdr:col>1</xdr:col>
      <xdr:colOff>716280</xdr:colOff>
      <xdr:row>12</xdr:row>
      <xdr:rowOff>152400</xdr:rowOff>
    </xdr:to>
    <xdr:cxnSp macro="">
      <xdr:nvCxnSpPr>
        <xdr:cNvPr id="25923" name="Straight Connector 79"/>
        <xdr:cNvCxnSpPr>
          <a:cxnSpLocks noChangeShapeType="1"/>
        </xdr:cNvCxnSpPr>
      </xdr:nvCxnSpPr>
      <xdr:spPr bwMode="auto">
        <a:xfrm rot="5400000">
          <a:off x="746760" y="2308860"/>
          <a:ext cx="182880" cy="0"/>
        </a:xfrm>
        <a:prstGeom prst="line">
          <a:avLst/>
        </a:prstGeom>
        <a:noFill/>
        <a:ln w="6350" algn="ctr">
          <a:solidFill>
            <a:srgbClr val="000000"/>
          </a:solidFill>
          <a:round/>
          <a:headEnd/>
          <a:tailEnd/>
        </a:ln>
      </xdr:spPr>
    </xdr:cxnSp>
    <xdr:clientData/>
  </xdr:twoCellAnchor>
  <xdr:twoCellAnchor>
    <xdr:from>
      <xdr:col>1</xdr:col>
      <xdr:colOff>403860</xdr:colOff>
      <xdr:row>12</xdr:row>
      <xdr:rowOff>152400</xdr:rowOff>
    </xdr:from>
    <xdr:to>
      <xdr:col>1</xdr:col>
      <xdr:colOff>716280</xdr:colOff>
      <xdr:row>12</xdr:row>
      <xdr:rowOff>152400</xdr:rowOff>
    </xdr:to>
    <xdr:cxnSp macro="">
      <xdr:nvCxnSpPr>
        <xdr:cNvPr id="25924" name="Straight Connector 80"/>
        <xdr:cNvCxnSpPr>
          <a:cxnSpLocks noChangeShapeType="1"/>
        </xdr:cNvCxnSpPr>
      </xdr:nvCxnSpPr>
      <xdr:spPr bwMode="auto">
        <a:xfrm rot="10800000">
          <a:off x="525780" y="2400300"/>
          <a:ext cx="312420" cy="0"/>
        </a:xfrm>
        <a:prstGeom prst="line">
          <a:avLst/>
        </a:prstGeom>
        <a:noFill/>
        <a:ln w="6350" algn="ctr">
          <a:solidFill>
            <a:srgbClr val="000000"/>
          </a:solidFill>
          <a:round/>
          <a:headEnd/>
          <a:tailEnd/>
        </a:ln>
      </xdr:spPr>
    </xdr:cxnSp>
    <xdr:clientData/>
  </xdr:twoCellAnchor>
  <xdr:twoCellAnchor>
    <xdr:from>
      <xdr:col>1</xdr:col>
      <xdr:colOff>403860</xdr:colOff>
      <xdr:row>11</xdr:row>
      <xdr:rowOff>160020</xdr:rowOff>
    </xdr:from>
    <xdr:to>
      <xdr:col>1</xdr:col>
      <xdr:colOff>403860</xdr:colOff>
      <xdr:row>12</xdr:row>
      <xdr:rowOff>152400</xdr:rowOff>
    </xdr:to>
    <xdr:cxnSp macro="">
      <xdr:nvCxnSpPr>
        <xdr:cNvPr id="25925" name="Straight Connector 81"/>
        <xdr:cNvCxnSpPr>
          <a:cxnSpLocks noChangeShapeType="1"/>
        </xdr:cNvCxnSpPr>
      </xdr:nvCxnSpPr>
      <xdr:spPr bwMode="auto">
        <a:xfrm rot="5400000" flipH="1" flipV="1">
          <a:off x="434340" y="2308860"/>
          <a:ext cx="182880" cy="0"/>
        </a:xfrm>
        <a:prstGeom prst="line">
          <a:avLst/>
        </a:prstGeom>
        <a:noFill/>
        <a:ln w="6350" algn="ctr">
          <a:solidFill>
            <a:srgbClr val="000000"/>
          </a:solidFill>
          <a:round/>
          <a:headEnd/>
          <a:tailEnd/>
        </a:ln>
      </xdr:spPr>
    </xdr:cxnSp>
    <xdr:clientData/>
  </xdr:twoCellAnchor>
  <xdr:twoCellAnchor>
    <xdr:from>
      <xdr:col>2</xdr:col>
      <xdr:colOff>38100</xdr:colOff>
      <xdr:row>12</xdr:row>
      <xdr:rowOff>60960</xdr:rowOff>
    </xdr:from>
    <xdr:to>
      <xdr:col>2</xdr:col>
      <xdr:colOff>99060</xdr:colOff>
      <xdr:row>12</xdr:row>
      <xdr:rowOff>160020</xdr:rowOff>
    </xdr:to>
    <xdr:cxnSp macro="">
      <xdr:nvCxnSpPr>
        <xdr:cNvPr id="25926" name="Straight Connector 90"/>
        <xdr:cNvCxnSpPr>
          <a:cxnSpLocks noChangeShapeType="1"/>
        </xdr:cNvCxnSpPr>
      </xdr:nvCxnSpPr>
      <xdr:spPr bwMode="auto">
        <a:xfrm rot="5400000">
          <a:off x="1085850" y="2327910"/>
          <a:ext cx="99060" cy="60960"/>
        </a:xfrm>
        <a:prstGeom prst="line">
          <a:avLst/>
        </a:prstGeom>
        <a:noFill/>
        <a:ln w="3175" algn="ctr">
          <a:solidFill>
            <a:srgbClr val="000000"/>
          </a:solidFill>
          <a:round/>
          <a:headEnd/>
          <a:tailEnd/>
        </a:ln>
      </xdr:spPr>
    </xdr:cxnSp>
    <xdr:clientData/>
  </xdr:twoCellAnchor>
  <xdr:twoCellAnchor>
    <xdr:from>
      <xdr:col>2</xdr:col>
      <xdr:colOff>68580</xdr:colOff>
      <xdr:row>12</xdr:row>
      <xdr:rowOff>60960</xdr:rowOff>
    </xdr:from>
    <xdr:to>
      <xdr:col>2</xdr:col>
      <xdr:colOff>121920</xdr:colOff>
      <xdr:row>12</xdr:row>
      <xdr:rowOff>152400</xdr:rowOff>
    </xdr:to>
    <xdr:cxnSp macro="">
      <xdr:nvCxnSpPr>
        <xdr:cNvPr id="25927" name="Straight Connector 92"/>
        <xdr:cNvCxnSpPr>
          <a:cxnSpLocks noChangeShapeType="1"/>
        </xdr:cNvCxnSpPr>
      </xdr:nvCxnSpPr>
      <xdr:spPr bwMode="auto">
        <a:xfrm rot="5400000">
          <a:off x="1116330" y="2327910"/>
          <a:ext cx="91440" cy="53340"/>
        </a:xfrm>
        <a:prstGeom prst="line">
          <a:avLst/>
        </a:prstGeom>
        <a:noFill/>
        <a:ln w="3175" algn="ctr">
          <a:solidFill>
            <a:srgbClr val="000000"/>
          </a:solidFill>
          <a:round/>
          <a:headEnd/>
          <a:tailEnd/>
        </a:ln>
      </xdr:spPr>
    </xdr:cxnSp>
    <xdr:clientData/>
  </xdr:twoCellAnchor>
  <xdr:twoCellAnchor>
    <xdr:from>
      <xdr:col>2</xdr:col>
      <xdr:colOff>91440</xdr:colOff>
      <xdr:row>12</xdr:row>
      <xdr:rowOff>68580</xdr:rowOff>
    </xdr:from>
    <xdr:to>
      <xdr:col>2</xdr:col>
      <xdr:colOff>144780</xdr:colOff>
      <xdr:row>12</xdr:row>
      <xdr:rowOff>160020</xdr:rowOff>
    </xdr:to>
    <xdr:cxnSp macro="">
      <xdr:nvCxnSpPr>
        <xdr:cNvPr id="25928" name="Straight Connector 93"/>
        <xdr:cNvCxnSpPr>
          <a:cxnSpLocks noChangeShapeType="1"/>
        </xdr:cNvCxnSpPr>
      </xdr:nvCxnSpPr>
      <xdr:spPr bwMode="auto">
        <a:xfrm rot="5400000">
          <a:off x="1139190" y="2335530"/>
          <a:ext cx="91440" cy="53340"/>
        </a:xfrm>
        <a:prstGeom prst="line">
          <a:avLst/>
        </a:prstGeom>
        <a:noFill/>
        <a:ln w="3175" algn="ctr">
          <a:solidFill>
            <a:srgbClr val="000000"/>
          </a:solidFill>
          <a:round/>
          <a:headEnd/>
          <a:tailEnd/>
        </a:ln>
      </xdr:spPr>
    </xdr:cxnSp>
    <xdr:clientData/>
  </xdr:twoCellAnchor>
  <xdr:twoCellAnchor>
    <xdr:from>
      <xdr:col>2</xdr:col>
      <xdr:colOff>114300</xdr:colOff>
      <xdr:row>12</xdr:row>
      <xdr:rowOff>68580</xdr:rowOff>
    </xdr:from>
    <xdr:to>
      <xdr:col>2</xdr:col>
      <xdr:colOff>175260</xdr:colOff>
      <xdr:row>12</xdr:row>
      <xdr:rowOff>160020</xdr:rowOff>
    </xdr:to>
    <xdr:cxnSp macro="">
      <xdr:nvCxnSpPr>
        <xdr:cNvPr id="25929" name="Straight Connector 94"/>
        <xdr:cNvCxnSpPr>
          <a:cxnSpLocks noChangeShapeType="1"/>
        </xdr:cNvCxnSpPr>
      </xdr:nvCxnSpPr>
      <xdr:spPr bwMode="auto">
        <a:xfrm rot="5400000">
          <a:off x="1165860" y="2331720"/>
          <a:ext cx="91440" cy="60960"/>
        </a:xfrm>
        <a:prstGeom prst="line">
          <a:avLst/>
        </a:prstGeom>
        <a:noFill/>
        <a:ln w="3175" algn="ctr">
          <a:solidFill>
            <a:srgbClr val="000000"/>
          </a:solidFill>
          <a:round/>
          <a:headEnd/>
          <a:tailEnd/>
        </a:ln>
      </xdr:spPr>
    </xdr:cxnSp>
    <xdr:clientData/>
  </xdr:twoCellAnchor>
  <xdr:twoCellAnchor>
    <xdr:from>
      <xdr:col>2</xdr:col>
      <xdr:colOff>236220</xdr:colOff>
      <xdr:row>12</xdr:row>
      <xdr:rowOff>60960</xdr:rowOff>
    </xdr:from>
    <xdr:to>
      <xdr:col>2</xdr:col>
      <xdr:colOff>289560</xdr:colOff>
      <xdr:row>12</xdr:row>
      <xdr:rowOff>160020</xdr:rowOff>
    </xdr:to>
    <xdr:cxnSp macro="">
      <xdr:nvCxnSpPr>
        <xdr:cNvPr id="25930" name="Straight Connector 99"/>
        <xdr:cNvCxnSpPr>
          <a:cxnSpLocks noChangeShapeType="1"/>
        </xdr:cNvCxnSpPr>
      </xdr:nvCxnSpPr>
      <xdr:spPr bwMode="auto">
        <a:xfrm rot="5400000">
          <a:off x="1280160" y="2331720"/>
          <a:ext cx="99060" cy="53340"/>
        </a:xfrm>
        <a:prstGeom prst="line">
          <a:avLst/>
        </a:prstGeom>
        <a:noFill/>
        <a:ln w="3175" algn="ctr">
          <a:solidFill>
            <a:srgbClr val="000000"/>
          </a:solidFill>
          <a:round/>
          <a:headEnd/>
          <a:tailEnd/>
        </a:ln>
      </xdr:spPr>
    </xdr:cxnSp>
    <xdr:clientData/>
  </xdr:twoCellAnchor>
  <xdr:twoCellAnchor>
    <xdr:from>
      <xdr:col>2</xdr:col>
      <xdr:colOff>266700</xdr:colOff>
      <xdr:row>12</xdr:row>
      <xdr:rowOff>60960</xdr:rowOff>
    </xdr:from>
    <xdr:to>
      <xdr:col>2</xdr:col>
      <xdr:colOff>320040</xdr:colOff>
      <xdr:row>12</xdr:row>
      <xdr:rowOff>152400</xdr:rowOff>
    </xdr:to>
    <xdr:cxnSp macro="">
      <xdr:nvCxnSpPr>
        <xdr:cNvPr id="25931" name="Straight Connector 100"/>
        <xdr:cNvCxnSpPr>
          <a:cxnSpLocks noChangeShapeType="1"/>
        </xdr:cNvCxnSpPr>
      </xdr:nvCxnSpPr>
      <xdr:spPr bwMode="auto">
        <a:xfrm rot="5400000">
          <a:off x="1314450" y="2327910"/>
          <a:ext cx="91440" cy="53340"/>
        </a:xfrm>
        <a:prstGeom prst="line">
          <a:avLst/>
        </a:prstGeom>
        <a:noFill/>
        <a:ln w="3175" algn="ctr">
          <a:solidFill>
            <a:srgbClr val="000000"/>
          </a:solidFill>
          <a:round/>
          <a:headEnd/>
          <a:tailEnd/>
        </a:ln>
      </xdr:spPr>
    </xdr:cxnSp>
    <xdr:clientData/>
  </xdr:twoCellAnchor>
  <xdr:twoCellAnchor>
    <xdr:from>
      <xdr:col>2</xdr:col>
      <xdr:colOff>289560</xdr:colOff>
      <xdr:row>12</xdr:row>
      <xdr:rowOff>68580</xdr:rowOff>
    </xdr:from>
    <xdr:to>
      <xdr:col>2</xdr:col>
      <xdr:colOff>350520</xdr:colOff>
      <xdr:row>12</xdr:row>
      <xdr:rowOff>160020</xdr:rowOff>
    </xdr:to>
    <xdr:cxnSp macro="">
      <xdr:nvCxnSpPr>
        <xdr:cNvPr id="25932" name="Straight Connector 101"/>
        <xdr:cNvCxnSpPr>
          <a:cxnSpLocks noChangeShapeType="1"/>
        </xdr:cNvCxnSpPr>
      </xdr:nvCxnSpPr>
      <xdr:spPr bwMode="auto">
        <a:xfrm rot="5400000">
          <a:off x="1341120" y="2331720"/>
          <a:ext cx="91440" cy="60960"/>
        </a:xfrm>
        <a:prstGeom prst="line">
          <a:avLst/>
        </a:prstGeom>
        <a:noFill/>
        <a:ln w="3175" algn="ctr">
          <a:solidFill>
            <a:srgbClr val="000000"/>
          </a:solidFill>
          <a:round/>
          <a:headEnd/>
          <a:tailEnd/>
        </a:ln>
      </xdr:spPr>
    </xdr:cxnSp>
    <xdr:clientData/>
  </xdr:twoCellAnchor>
  <xdr:twoCellAnchor>
    <xdr:from>
      <xdr:col>2</xdr:col>
      <xdr:colOff>320040</xdr:colOff>
      <xdr:row>12</xdr:row>
      <xdr:rowOff>68580</xdr:rowOff>
    </xdr:from>
    <xdr:to>
      <xdr:col>2</xdr:col>
      <xdr:colOff>373380</xdr:colOff>
      <xdr:row>12</xdr:row>
      <xdr:rowOff>160020</xdr:rowOff>
    </xdr:to>
    <xdr:cxnSp macro="">
      <xdr:nvCxnSpPr>
        <xdr:cNvPr id="25933" name="Straight Connector 102"/>
        <xdr:cNvCxnSpPr>
          <a:cxnSpLocks noChangeShapeType="1"/>
        </xdr:cNvCxnSpPr>
      </xdr:nvCxnSpPr>
      <xdr:spPr bwMode="auto">
        <a:xfrm rot="5400000">
          <a:off x="1367790" y="2335530"/>
          <a:ext cx="91440" cy="53340"/>
        </a:xfrm>
        <a:prstGeom prst="line">
          <a:avLst/>
        </a:prstGeom>
        <a:noFill/>
        <a:ln w="3175" algn="ctr">
          <a:solidFill>
            <a:srgbClr val="000000"/>
          </a:solidFill>
          <a:round/>
          <a:headEnd/>
          <a:tailEnd/>
        </a:ln>
      </xdr:spPr>
    </xdr:cxnSp>
    <xdr:clientData/>
  </xdr:twoCellAnchor>
  <xdr:twoCellAnchor>
    <xdr:from>
      <xdr:col>2</xdr:col>
      <xdr:colOff>175260</xdr:colOff>
      <xdr:row>12</xdr:row>
      <xdr:rowOff>83820</xdr:rowOff>
    </xdr:from>
    <xdr:to>
      <xdr:col>2</xdr:col>
      <xdr:colOff>266700</xdr:colOff>
      <xdr:row>12</xdr:row>
      <xdr:rowOff>83820</xdr:rowOff>
    </xdr:to>
    <xdr:cxnSp macro="">
      <xdr:nvCxnSpPr>
        <xdr:cNvPr id="25934" name="Straight Connector 104"/>
        <xdr:cNvCxnSpPr>
          <a:cxnSpLocks noChangeShapeType="1"/>
        </xdr:cNvCxnSpPr>
      </xdr:nvCxnSpPr>
      <xdr:spPr bwMode="auto">
        <a:xfrm>
          <a:off x="1242060" y="2331720"/>
          <a:ext cx="91440" cy="0"/>
        </a:xfrm>
        <a:prstGeom prst="line">
          <a:avLst/>
        </a:prstGeom>
        <a:noFill/>
        <a:ln w="3175" algn="ctr">
          <a:solidFill>
            <a:srgbClr val="000000"/>
          </a:solidFill>
          <a:round/>
          <a:headEnd/>
          <a:tailEnd/>
        </a:ln>
      </xdr:spPr>
    </xdr:cxnSp>
    <xdr:clientData/>
  </xdr:twoCellAnchor>
  <xdr:twoCellAnchor>
    <xdr:from>
      <xdr:col>2</xdr:col>
      <xdr:colOff>160020</xdr:colOff>
      <xdr:row>12</xdr:row>
      <xdr:rowOff>106680</xdr:rowOff>
    </xdr:from>
    <xdr:to>
      <xdr:col>2</xdr:col>
      <xdr:colOff>251460</xdr:colOff>
      <xdr:row>12</xdr:row>
      <xdr:rowOff>106680</xdr:rowOff>
    </xdr:to>
    <xdr:cxnSp macro="">
      <xdr:nvCxnSpPr>
        <xdr:cNvPr id="25935" name="Straight Connector 107"/>
        <xdr:cNvCxnSpPr>
          <a:cxnSpLocks noChangeShapeType="1"/>
        </xdr:cNvCxnSpPr>
      </xdr:nvCxnSpPr>
      <xdr:spPr bwMode="auto">
        <a:xfrm>
          <a:off x="1226820" y="2354580"/>
          <a:ext cx="91440" cy="0"/>
        </a:xfrm>
        <a:prstGeom prst="line">
          <a:avLst/>
        </a:prstGeom>
        <a:noFill/>
        <a:ln w="3175" algn="ctr">
          <a:solidFill>
            <a:srgbClr val="000000"/>
          </a:solidFill>
          <a:round/>
          <a:headEnd/>
          <a:tailEnd/>
        </a:ln>
      </xdr:spPr>
    </xdr:cxnSp>
    <xdr:clientData/>
  </xdr:twoCellAnchor>
  <xdr:twoCellAnchor>
    <xdr:from>
      <xdr:col>2</xdr:col>
      <xdr:colOff>137160</xdr:colOff>
      <xdr:row>12</xdr:row>
      <xdr:rowOff>160020</xdr:rowOff>
    </xdr:from>
    <xdr:to>
      <xdr:col>2</xdr:col>
      <xdr:colOff>228600</xdr:colOff>
      <xdr:row>12</xdr:row>
      <xdr:rowOff>160020</xdr:rowOff>
    </xdr:to>
    <xdr:cxnSp macro="">
      <xdr:nvCxnSpPr>
        <xdr:cNvPr id="25936" name="Straight Connector 111"/>
        <xdr:cNvCxnSpPr>
          <a:cxnSpLocks noChangeShapeType="1"/>
        </xdr:cNvCxnSpPr>
      </xdr:nvCxnSpPr>
      <xdr:spPr bwMode="auto">
        <a:xfrm>
          <a:off x="1203960" y="2407920"/>
          <a:ext cx="91440" cy="0"/>
        </a:xfrm>
        <a:prstGeom prst="line">
          <a:avLst/>
        </a:prstGeom>
        <a:noFill/>
        <a:ln w="3175" algn="ctr">
          <a:solidFill>
            <a:srgbClr val="000000"/>
          </a:solidFill>
          <a:round/>
          <a:headEnd/>
          <a:tailEnd/>
        </a:ln>
      </xdr:spPr>
    </xdr:cxnSp>
    <xdr:clientData/>
  </xdr:twoCellAnchor>
  <xdr:twoCellAnchor>
    <xdr:from>
      <xdr:col>2</xdr:col>
      <xdr:colOff>144780</xdr:colOff>
      <xdr:row>12</xdr:row>
      <xdr:rowOff>137160</xdr:rowOff>
    </xdr:from>
    <xdr:to>
      <xdr:col>2</xdr:col>
      <xdr:colOff>243840</xdr:colOff>
      <xdr:row>12</xdr:row>
      <xdr:rowOff>137160</xdr:rowOff>
    </xdr:to>
    <xdr:cxnSp macro="">
      <xdr:nvCxnSpPr>
        <xdr:cNvPr id="25937" name="Straight Connector 113"/>
        <xdr:cNvCxnSpPr>
          <a:cxnSpLocks noChangeShapeType="1"/>
        </xdr:cNvCxnSpPr>
      </xdr:nvCxnSpPr>
      <xdr:spPr bwMode="auto">
        <a:xfrm>
          <a:off x="1211580" y="2385060"/>
          <a:ext cx="99060" cy="0"/>
        </a:xfrm>
        <a:prstGeom prst="line">
          <a:avLst/>
        </a:prstGeom>
        <a:noFill/>
        <a:ln w="3175" algn="ctr">
          <a:solidFill>
            <a:srgbClr val="000000"/>
          </a:solidFill>
          <a:round/>
          <a:headEnd/>
          <a:tailEnd/>
        </a:ln>
      </xdr:spPr>
    </xdr:cxnSp>
    <xdr:clientData/>
  </xdr:twoCellAnchor>
  <xdr:twoCellAnchor>
    <xdr:from>
      <xdr:col>1</xdr:col>
      <xdr:colOff>563880</xdr:colOff>
      <xdr:row>8</xdr:row>
      <xdr:rowOff>45720</xdr:rowOff>
    </xdr:from>
    <xdr:to>
      <xdr:col>2</xdr:col>
      <xdr:colOff>906780</xdr:colOff>
      <xdr:row>8</xdr:row>
      <xdr:rowOff>45720</xdr:rowOff>
    </xdr:to>
    <xdr:cxnSp macro="">
      <xdr:nvCxnSpPr>
        <xdr:cNvPr id="25938" name="Straight Arrow Connector 115"/>
        <xdr:cNvCxnSpPr>
          <a:cxnSpLocks noChangeShapeType="1"/>
        </xdr:cNvCxnSpPr>
      </xdr:nvCxnSpPr>
      <xdr:spPr bwMode="auto">
        <a:xfrm>
          <a:off x="685800" y="1531620"/>
          <a:ext cx="128778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1</xdr:col>
      <xdr:colOff>274320</xdr:colOff>
      <xdr:row>8</xdr:row>
      <xdr:rowOff>182880</xdr:rowOff>
    </xdr:from>
    <xdr:to>
      <xdr:col>1</xdr:col>
      <xdr:colOff>274320</xdr:colOff>
      <xdr:row>12</xdr:row>
      <xdr:rowOff>68580</xdr:rowOff>
    </xdr:to>
    <xdr:cxnSp macro="">
      <xdr:nvCxnSpPr>
        <xdr:cNvPr id="25939" name="Straight Arrow Connector 117"/>
        <xdr:cNvCxnSpPr>
          <a:cxnSpLocks noChangeShapeType="1"/>
        </xdr:cNvCxnSpPr>
      </xdr:nvCxnSpPr>
      <xdr:spPr bwMode="auto">
        <a:xfrm rot="5400000" flipH="1" flipV="1">
          <a:off x="72390" y="1992630"/>
          <a:ext cx="64770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1</xdr:col>
      <xdr:colOff>198120</xdr:colOff>
      <xdr:row>12</xdr:row>
      <xdr:rowOff>68580</xdr:rowOff>
    </xdr:from>
    <xdr:to>
      <xdr:col>1</xdr:col>
      <xdr:colOff>441960</xdr:colOff>
      <xdr:row>12</xdr:row>
      <xdr:rowOff>68580</xdr:rowOff>
    </xdr:to>
    <xdr:cxnSp macro="">
      <xdr:nvCxnSpPr>
        <xdr:cNvPr id="25940" name="Straight Connector 119"/>
        <xdr:cNvCxnSpPr>
          <a:cxnSpLocks noChangeShapeType="1"/>
        </xdr:cNvCxnSpPr>
      </xdr:nvCxnSpPr>
      <xdr:spPr bwMode="auto">
        <a:xfrm rot="10800000">
          <a:off x="320040" y="2316480"/>
          <a:ext cx="243840" cy="0"/>
        </a:xfrm>
        <a:prstGeom prst="line">
          <a:avLst/>
        </a:prstGeom>
        <a:noFill/>
        <a:ln w="6350" algn="ctr">
          <a:solidFill>
            <a:srgbClr val="000000"/>
          </a:solidFill>
          <a:round/>
          <a:headEnd/>
          <a:tailEnd/>
        </a:ln>
      </xdr:spPr>
    </xdr:cxnSp>
    <xdr:clientData/>
  </xdr:twoCellAnchor>
  <xdr:twoCellAnchor>
    <xdr:from>
      <xdr:col>1</xdr:col>
      <xdr:colOff>175260</xdr:colOff>
      <xdr:row>8</xdr:row>
      <xdr:rowOff>182880</xdr:rowOff>
    </xdr:from>
    <xdr:to>
      <xdr:col>2</xdr:col>
      <xdr:colOff>144780</xdr:colOff>
      <xdr:row>8</xdr:row>
      <xdr:rowOff>182880</xdr:rowOff>
    </xdr:to>
    <xdr:cxnSp macro="">
      <xdr:nvCxnSpPr>
        <xdr:cNvPr id="25941" name="Straight Connector 121"/>
        <xdr:cNvCxnSpPr>
          <a:cxnSpLocks noChangeShapeType="1"/>
        </xdr:cNvCxnSpPr>
      </xdr:nvCxnSpPr>
      <xdr:spPr bwMode="auto">
        <a:xfrm rot="10800000">
          <a:off x="297180" y="1668780"/>
          <a:ext cx="914400" cy="0"/>
        </a:xfrm>
        <a:prstGeom prst="line">
          <a:avLst/>
        </a:prstGeom>
        <a:noFill/>
        <a:ln w="6350" algn="ctr">
          <a:solidFill>
            <a:srgbClr val="000000"/>
          </a:solidFill>
          <a:round/>
          <a:headEnd/>
          <a:tailEnd/>
        </a:ln>
      </xdr:spPr>
    </xdr:cxnSp>
    <xdr:clientData/>
  </xdr:twoCellAnchor>
  <xdr:twoCellAnchor>
    <xdr:from>
      <xdr:col>1</xdr:col>
      <xdr:colOff>571500</xdr:colOff>
      <xdr:row>7</xdr:row>
      <xdr:rowOff>236220</xdr:rowOff>
    </xdr:from>
    <xdr:to>
      <xdr:col>1</xdr:col>
      <xdr:colOff>571500</xdr:colOff>
      <xdr:row>11</xdr:row>
      <xdr:rowOff>45720</xdr:rowOff>
    </xdr:to>
    <xdr:cxnSp macro="">
      <xdr:nvCxnSpPr>
        <xdr:cNvPr id="25942" name="Straight Connector 124"/>
        <xdr:cNvCxnSpPr>
          <a:cxnSpLocks noChangeShapeType="1"/>
        </xdr:cNvCxnSpPr>
      </xdr:nvCxnSpPr>
      <xdr:spPr bwMode="auto">
        <a:xfrm rot="5400000" flipH="1" flipV="1">
          <a:off x="384810" y="1794510"/>
          <a:ext cx="617220" cy="0"/>
        </a:xfrm>
        <a:prstGeom prst="line">
          <a:avLst/>
        </a:prstGeom>
        <a:noFill/>
        <a:ln w="6350" algn="ctr">
          <a:solidFill>
            <a:srgbClr val="000000"/>
          </a:solidFill>
          <a:round/>
          <a:headEnd/>
          <a:tailEnd/>
        </a:ln>
      </xdr:spPr>
    </xdr:cxnSp>
    <xdr:clientData/>
  </xdr:twoCellAnchor>
  <xdr:twoCellAnchor>
    <xdr:from>
      <xdr:col>2</xdr:col>
      <xdr:colOff>914400</xdr:colOff>
      <xdr:row>7</xdr:row>
      <xdr:rowOff>228600</xdr:rowOff>
    </xdr:from>
    <xdr:to>
      <xdr:col>2</xdr:col>
      <xdr:colOff>914400</xdr:colOff>
      <xdr:row>11</xdr:row>
      <xdr:rowOff>68580</xdr:rowOff>
    </xdr:to>
    <xdr:cxnSp macro="">
      <xdr:nvCxnSpPr>
        <xdr:cNvPr id="25943" name="Straight Connector 126"/>
        <xdr:cNvCxnSpPr>
          <a:cxnSpLocks noChangeShapeType="1"/>
        </xdr:cNvCxnSpPr>
      </xdr:nvCxnSpPr>
      <xdr:spPr bwMode="auto">
        <a:xfrm rot="5400000" flipH="1" flipV="1">
          <a:off x="1657350" y="1802130"/>
          <a:ext cx="647700" cy="0"/>
        </a:xfrm>
        <a:prstGeom prst="line">
          <a:avLst/>
        </a:prstGeom>
        <a:noFill/>
        <a:ln w="6350" algn="ctr">
          <a:solidFill>
            <a:srgbClr val="000000"/>
          </a:solidFill>
          <a:round/>
          <a:headEnd/>
          <a:tailEnd/>
        </a:ln>
      </xdr:spPr>
    </xdr:cxnSp>
    <xdr:clientData/>
  </xdr:twoCellAnchor>
  <xdr:twoCellAnchor>
    <xdr:from>
      <xdr:col>1</xdr:col>
      <xdr:colOff>845820</xdr:colOff>
      <xdr:row>16</xdr:row>
      <xdr:rowOff>68580</xdr:rowOff>
    </xdr:from>
    <xdr:to>
      <xdr:col>2</xdr:col>
      <xdr:colOff>731520</xdr:colOff>
      <xdr:row>20</xdr:row>
      <xdr:rowOff>137160</xdr:rowOff>
    </xdr:to>
    <xdr:sp macro="" textlink="">
      <xdr:nvSpPr>
        <xdr:cNvPr id="25944" name="Oval 59"/>
        <xdr:cNvSpPr>
          <a:spLocks noChangeArrowheads="1"/>
        </xdr:cNvSpPr>
      </xdr:nvSpPr>
      <xdr:spPr bwMode="auto">
        <a:xfrm>
          <a:off x="967740" y="3078480"/>
          <a:ext cx="830580" cy="830580"/>
        </a:xfrm>
        <a:prstGeom prst="ellipse">
          <a:avLst/>
        </a:prstGeom>
        <a:solidFill>
          <a:srgbClr val="FFFFFF"/>
        </a:solidFill>
        <a:ln w="9525" algn="ctr">
          <a:solidFill>
            <a:srgbClr val="000000"/>
          </a:solidFill>
          <a:round/>
          <a:headEnd/>
          <a:tailEnd/>
        </a:ln>
      </xdr:spPr>
    </xdr:sp>
    <xdr:clientData/>
  </xdr:twoCellAnchor>
  <xdr:twoCellAnchor>
    <xdr:from>
      <xdr:col>1</xdr:col>
      <xdr:colOff>845820</xdr:colOff>
      <xdr:row>18</xdr:row>
      <xdr:rowOff>106680</xdr:rowOff>
    </xdr:from>
    <xdr:to>
      <xdr:col>2</xdr:col>
      <xdr:colOff>731520</xdr:colOff>
      <xdr:row>18</xdr:row>
      <xdr:rowOff>106680</xdr:rowOff>
    </xdr:to>
    <xdr:cxnSp macro="">
      <xdr:nvCxnSpPr>
        <xdr:cNvPr id="25945" name="Straight Arrow Connector 64"/>
        <xdr:cNvCxnSpPr>
          <a:cxnSpLocks noChangeShapeType="1"/>
          <a:stCxn id="25944" idx="2"/>
          <a:endCxn id="25944" idx="6"/>
        </xdr:cNvCxnSpPr>
      </xdr:nvCxnSpPr>
      <xdr:spPr bwMode="auto">
        <a:xfrm>
          <a:off x="967740" y="3497580"/>
          <a:ext cx="83058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2</xdr:col>
      <xdr:colOff>304801</xdr:colOff>
      <xdr:row>16</xdr:row>
      <xdr:rowOff>171450</xdr:rowOff>
    </xdr:from>
    <xdr:to>
      <xdr:col>2</xdr:col>
      <xdr:colOff>529591</xdr:colOff>
      <xdr:row>17</xdr:row>
      <xdr:rowOff>173355</xdr:rowOff>
    </xdr:to>
    <xdr:sp macro="" textlink="">
      <xdr:nvSpPr>
        <xdr:cNvPr id="52" name="TextBox 51"/>
        <xdr:cNvSpPr txBox="1"/>
      </xdr:nvSpPr>
      <xdr:spPr>
        <a:xfrm>
          <a:off x="1524001" y="3013710"/>
          <a:ext cx="224790" cy="16954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R</a:t>
          </a:r>
        </a:p>
      </xdr:txBody>
    </xdr:sp>
    <xdr:clientData/>
  </xdr:twoCellAnchor>
  <xdr:twoCellAnchor>
    <xdr:from>
      <xdr:col>2</xdr:col>
      <xdr:colOff>320040</xdr:colOff>
      <xdr:row>16</xdr:row>
      <xdr:rowOff>68580</xdr:rowOff>
    </xdr:from>
    <xdr:to>
      <xdr:col>2</xdr:col>
      <xdr:colOff>320040</xdr:colOff>
      <xdr:row>20</xdr:row>
      <xdr:rowOff>137160</xdr:rowOff>
    </xdr:to>
    <xdr:cxnSp macro="">
      <xdr:nvCxnSpPr>
        <xdr:cNvPr id="25947" name="Straight Arrow Connector 66"/>
        <xdr:cNvCxnSpPr>
          <a:cxnSpLocks noChangeShapeType="1"/>
          <a:stCxn id="25944" idx="0"/>
          <a:endCxn id="25944" idx="4"/>
        </xdr:cNvCxnSpPr>
      </xdr:nvCxnSpPr>
      <xdr:spPr bwMode="auto">
        <a:xfrm>
          <a:off x="1386840" y="3078480"/>
          <a:ext cx="0" cy="830580"/>
        </a:xfrm>
        <a:prstGeom prst="straightConnector1">
          <a:avLst/>
        </a:prstGeom>
        <a:noFill/>
        <a:ln w="3175" algn="ctr">
          <a:solidFill>
            <a:srgbClr val="000000"/>
          </a:solidFill>
          <a:round/>
          <a:headEnd type="stealth" w="sm" len="sm"/>
          <a:tailEnd type="stealth" w="sm" len="sm"/>
        </a:ln>
      </xdr:spPr>
    </xdr:cxnSp>
    <xdr:clientData/>
  </xdr:twoCellAnchor>
  <xdr:twoCellAnchor>
    <xdr:from>
      <xdr:col>2</xdr:col>
      <xdr:colOff>21590</xdr:colOff>
      <xdr:row>17</xdr:row>
      <xdr:rowOff>45720</xdr:rowOff>
    </xdr:from>
    <xdr:to>
      <xdr:col>2</xdr:col>
      <xdr:colOff>253999</xdr:colOff>
      <xdr:row>18</xdr:row>
      <xdr:rowOff>40005</xdr:rowOff>
    </xdr:to>
    <xdr:sp macro="" textlink="">
      <xdr:nvSpPr>
        <xdr:cNvPr id="54" name="TextBox 53"/>
        <xdr:cNvSpPr txBox="1"/>
      </xdr:nvSpPr>
      <xdr:spPr>
        <a:xfrm>
          <a:off x="1240790" y="3063240"/>
          <a:ext cx="232409" cy="16192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S</a:t>
          </a:r>
        </a:p>
      </xdr:txBody>
    </xdr:sp>
    <xdr:clientData/>
  </xdr:twoCellAnchor>
  <xdr:twoCellAnchor>
    <xdr:from>
      <xdr:col>2</xdr:col>
      <xdr:colOff>312420</xdr:colOff>
      <xdr:row>17</xdr:row>
      <xdr:rowOff>190500</xdr:rowOff>
    </xdr:from>
    <xdr:to>
      <xdr:col>2</xdr:col>
      <xdr:colOff>434340</xdr:colOff>
      <xdr:row>18</xdr:row>
      <xdr:rowOff>45720</xdr:rowOff>
    </xdr:to>
    <xdr:cxnSp macro="">
      <xdr:nvCxnSpPr>
        <xdr:cNvPr id="25949" name="Straight Connector 70"/>
        <xdr:cNvCxnSpPr>
          <a:cxnSpLocks noChangeShapeType="1"/>
        </xdr:cNvCxnSpPr>
      </xdr:nvCxnSpPr>
      <xdr:spPr bwMode="auto">
        <a:xfrm flipV="1">
          <a:off x="1379220" y="3390900"/>
          <a:ext cx="121920" cy="45720"/>
        </a:xfrm>
        <a:prstGeom prst="line">
          <a:avLst/>
        </a:prstGeom>
        <a:noFill/>
        <a:ln w="3175" algn="ctr">
          <a:solidFill>
            <a:srgbClr val="000000"/>
          </a:solidFill>
          <a:round/>
          <a:headEnd/>
          <a:tailEnd/>
        </a:ln>
      </xdr:spPr>
    </xdr:cxnSp>
    <xdr:clientData/>
  </xdr:twoCellAnchor>
  <xdr:twoCellAnchor>
    <xdr:from>
      <xdr:col>2</xdr:col>
      <xdr:colOff>160020</xdr:colOff>
      <xdr:row>18</xdr:row>
      <xdr:rowOff>53340</xdr:rowOff>
    </xdr:from>
    <xdr:to>
      <xdr:col>2</xdr:col>
      <xdr:colOff>266700</xdr:colOff>
      <xdr:row>18</xdr:row>
      <xdr:rowOff>106680</xdr:rowOff>
    </xdr:to>
    <xdr:cxnSp macro="">
      <xdr:nvCxnSpPr>
        <xdr:cNvPr id="25950" name="Straight Connector 88"/>
        <xdr:cNvCxnSpPr>
          <a:cxnSpLocks noChangeShapeType="1"/>
        </xdr:cNvCxnSpPr>
      </xdr:nvCxnSpPr>
      <xdr:spPr bwMode="auto">
        <a:xfrm rot="10800000">
          <a:off x="1226820" y="3444240"/>
          <a:ext cx="106680" cy="53340"/>
        </a:xfrm>
        <a:prstGeom prst="line">
          <a:avLst/>
        </a:prstGeom>
        <a:noFill/>
        <a:ln w="3175" algn="ctr">
          <a:solidFill>
            <a:srgbClr val="000000"/>
          </a:solidFill>
          <a:round/>
          <a:headEnd/>
          <a:tailEnd/>
        </a:ln>
      </xdr:spPr>
    </xdr:cxnSp>
    <xdr:clientData/>
  </xdr:twoCellAnchor>
  <xdr:twoCellAnchor>
    <xdr:from>
      <xdr:col>1</xdr:col>
      <xdr:colOff>701040</xdr:colOff>
      <xdr:row>24</xdr:row>
      <xdr:rowOff>167640</xdr:rowOff>
    </xdr:from>
    <xdr:to>
      <xdr:col>2</xdr:col>
      <xdr:colOff>800100</xdr:colOff>
      <xdr:row>27</xdr:row>
      <xdr:rowOff>190500</xdr:rowOff>
    </xdr:to>
    <xdr:sp macro="" textlink="">
      <xdr:nvSpPr>
        <xdr:cNvPr id="25951" name="Freeform 109"/>
        <xdr:cNvSpPr>
          <a:spLocks/>
        </xdr:cNvSpPr>
      </xdr:nvSpPr>
      <xdr:spPr bwMode="auto">
        <a:xfrm>
          <a:off x="822960" y="4701540"/>
          <a:ext cx="1043940" cy="594360"/>
        </a:xfrm>
        <a:custGeom>
          <a:avLst/>
          <a:gdLst>
            <a:gd name="T0" fmla="*/ 18411 w 1043094"/>
            <a:gd name="T1" fmla="*/ 360679 h 588010"/>
            <a:gd name="T2" fmla="*/ 193076 w 1043094"/>
            <a:gd name="T3" fmla="*/ 56210 h 588010"/>
            <a:gd name="T4" fmla="*/ 414021 w 1043094"/>
            <a:gd name="T5" fmla="*/ 51526 h 588010"/>
            <a:gd name="T6" fmla="*/ 594658 w 1043094"/>
            <a:gd name="T7" fmla="*/ 365363 h 588010"/>
            <a:gd name="T8" fmla="*/ 303550 w 1043094"/>
            <a:gd name="T9" fmla="*/ 541020 h 588010"/>
            <a:gd name="T10" fmla="*/ 18411 w 1043094"/>
            <a:gd name="T11" fmla="*/ 360679 h 588010"/>
            <a:gd name="T12" fmla="*/ 0 60000 65536"/>
            <a:gd name="T13" fmla="*/ 0 60000 65536"/>
            <a:gd name="T14" fmla="*/ 0 60000 65536"/>
            <a:gd name="T15" fmla="*/ 0 60000 65536"/>
            <a:gd name="T16" fmla="*/ 0 60000 65536"/>
            <a:gd name="T17" fmla="*/ 0 60000 65536"/>
            <a:gd name="T18" fmla="*/ 0 w 1043094"/>
            <a:gd name="T19" fmla="*/ 0 h 588010"/>
            <a:gd name="T20" fmla="*/ 1043094 w 1043094"/>
            <a:gd name="T21" fmla="*/ 588010 h 588010"/>
          </a:gdLst>
          <a:ahLst/>
          <a:cxnLst>
            <a:cxn ang="T12">
              <a:pos x="T0" y="T1"/>
            </a:cxn>
            <a:cxn ang="T13">
              <a:pos x="T2" y="T3"/>
            </a:cxn>
            <a:cxn ang="T14">
              <a:pos x="T4" y="T5"/>
            </a:cxn>
            <a:cxn ang="T15">
              <a:pos x="T6" y="T7"/>
            </a:cxn>
            <a:cxn ang="T16">
              <a:pos x="T8" y="T9"/>
            </a:cxn>
            <a:cxn ang="T17">
              <a:pos x="T10" y="T11"/>
            </a:cxn>
          </a:cxnLst>
          <a:rect l="T18" t="T19" r="T20" b="T21"/>
          <a:pathLst>
            <a:path w="1043094" h="588010">
              <a:moveTo>
                <a:pt x="31327" y="391160"/>
              </a:moveTo>
              <a:cubicBezTo>
                <a:pt x="0" y="303530"/>
                <a:pt x="216324" y="116840"/>
                <a:pt x="328507" y="60960"/>
              </a:cubicBezTo>
              <a:cubicBezTo>
                <a:pt x="440690" y="5080"/>
                <a:pt x="590550" y="0"/>
                <a:pt x="704427" y="55880"/>
              </a:cubicBezTo>
              <a:cubicBezTo>
                <a:pt x="818304" y="111760"/>
                <a:pt x="1043094" y="307763"/>
                <a:pt x="1011767" y="396240"/>
              </a:cubicBezTo>
              <a:cubicBezTo>
                <a:pt x="980440" y="484717"/>
                <a:pt x="679450" y="588010"/>
                <a:pt x="516467" y="586740"/>
              </a:cubicBezTo>
              <a:cubicBezTo>
                <a:pt x="353484" y="585470"/>
                <a:pt x="62654" y="478790"/>
                <a:pt x="31327" y="391160"/>
              </a:cubicBezTo>
              <a:close/>
            </a:path>
          </a:pathLst>
        </a:custGeom>
        <a:solidFill>
          <a:srgbClr val="FFFFFF"/>
        </a:solidFill>
        <a:ln w="9525" cap="flat" cmpd="sng" algn="ctr">
          <a:solidFill>
            <a:srgbClr val="000000"/>
          </a:solidFill>
          <a:prstDash val="solid"/>
          <a:round/>
          <a:headEnd type="none" w="med" len="med"/>
          <a:tailEnd type="none" w="med" len="med"/>
        </a:ln>
      </xdr:spPr>
    </xdr:sp>
    <xdr:clientData/>
  </xdr:twoCellAnchor>
  <xdr:twoCellAnchor>
    <xdr:from>
      <xdr:col>2</xdr:col>
      <xdr:colOff>332740</xdr:colOff>
      <xdr:row>25</xdr:row>
      <xdr:rowOff>91440</xdr:rowOff>
    </xdr:from>
    <xdr:to>
      <xdr:col>2</xdr:col>
      <xdr:colOff>505460</xdr:colOff>
      <xdr:row>26</xdr:row>
      <xdr:rowOff>73660</xdr:rowOff>
    </xdr:to>
    <xdr:sp macro="" textlink="">
      <xdr:nvSpPr>
        <xdr:cNvPr id="58" name="TextBox 57"/>
        <xdr:cNvSpPr txBox="1"/>
      </xdr:nvSpPr>
      <xdr:spPr>
        <a:xfrm>
          <a:off x="1551940" y="4450080"/>
          <a:ext cx="172720" cy="14986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R</a:t>
          </a:r>
        </a:p>
      </xdr:txBody>
    </xdr:sp>
    <xdr:clientData/>
  </xdr:twoCellAnchor>
  <xdr:twoCellAnchor>
    <xdr:from>
      <xdr:col>2</xdr:col>
      <xdr:colOff>281940</xdr:colOff>
      <xdr:row>24</xdr:row>
      <xdr:rowOff>182880</xdr:rowOff>
    </xdr:from>
    <xdr:to>
      <xdr:col>2</xdr:col>
      <xdr:colOff>289560</xdr:colOff>
      <xdr:row>27</xdr:row>
      <xdr:rowOff>190500</xdr:rowOff>
    </xdr:to>
    <xdr:cxnSp macro="">
      <xdr:nvCxnSpPr>
        <xdr:cNvPr id="25953" name="Straight Arrow Connector 92"/>
        <xdr:cNvCxnSpPr>
          <a:cxnSpLocks noChangeShapeType="1"/>
        </xdr:cNvCxnSpPr>
      </xdr:nvCxnSpPr>
      <xdr:spPr bwMode="auto">
        <a:xfrm rot="5400000">
          <a:off x="1062990" y="5002530"/>
          <a:ext cx="579120" cy="7620"/>
        </a:xfrm>
        <a:prstGeom prst="straightConnector1">
          <a:avLst/>
        </a:prstGeom>
        <a:noFill/>
        <a:ln w="3175" algn="ctr">
          <a:solidFill>
            <a:srgbClr val="000000"/>
          </a:solidFill>
          <a:round/>
          <a:headEnd type="stealth" w="sm" len="sm"/>
          <a:tailEnd type="stealth" w="sm" len="sm"/>
        </a:ln>
      </xdr:spPr>
    </xdr:cxnSp>
    <xdr:clientData/>
  </xdr:twoCellAnchor>
  <xdr:twoCellAnchor>
    <xdr:from>
      <xdr:col>2</xdr:col>
      <xdr:colOff>10160</xdr:colOff>
      <xdr:row>25</xdr:row>
      <xdr:rowOff>124460</xdr:rowOff>
    </xdr:from>
    <xdr:to>
      <xdr:col>2</xdr:col>
      <xdr:colOff>215900</xdr:colOff>
      <xdr:row>26</xdr:row>
      <xdr:rowOff>95091</xdr:rowOff>
    </xdr:to>
    <xdr:sp macro="" textlink="">
      <xdr:nvSpPr>
        <xdr:cNvPr id="60" name="TextBox 59"/>
        <xdr:cNvSpPr txBox="1"/>
      </xdr:nvSpPr>
      <xdr:spPr>
        <a:xfrm>
          <a:off x="1229360" y="4483100"/>
          <a:ext cx="205740" cy="138271"/>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S</a:t>
          </a:r>
        </a:p>
      </xdr:txBody>
    </xdr:sp>
    <xdr:clientData/>
  </xdr:twoCellAnchor>
  <xdr:twoCellAnchor>
    <xdr:from>
      <xdr:col>2</xdr:col>
      <xdr:colOff>289560</xdr:colOff>
      <xdr:row>26</xdr:row>
      <xdr:rowOff>53340</xdr:rowOff>
    </xdr:from>
    <xdr:to>
      <xdr:col>2</xdr:col>
      <xdr:colOff>403860</xdr:colOff>
      <xdr:row>26</xdr:row>
      <xdr:rowOff>106680</xdr:rowOff>
    </xdr:to>
    <xdr:cxnSp macro="">
      <xdr:nvCxnSpPr>
        <xdr:cNvPr id="25955" name="Straight Connector 94"/>
        <xdr:cNvCxnSpPr>
          <a:cxnSpLocks noChangeShapeType="1"/>
        </xdr:cNvCxnSpPr>
      </xdr:nvCxnSpPr>
      <xdr:spPr bwMode="auto">
        <a:xfrm flipV="1">
          <a:off x="1356360" y="4968240"/>
          <a:ext cx="114300" cy="53340"/>
        </a:xfrm>
        <a:prstGeom prst="line">
          <a:avLst/>
        </a:prstGeom>
        <a:noFill/>
        <a:ln w="3175" algn="ctr">
          <a:solidFill>
            <a:srgbClr val="000000"/>
          </a:solidFill>
          <a:round/>
          <a:headEnd/>
          <a:tailEnd/>
        </a:ln>
      </xdr:spPr>
    </xdr:cxnSp>
    <xdr:clientData/>
  </xdr:twoCellAnchor>
  <xdr:twoCellAnchor>
    <xdr:from>
      <xdr:col>2</xdr:col>
      <xdr:colOff>121920</xdr:colOff>
      <xdr:row>26</xdr:row>
      <xdr:rowOff>106680</xdr:rowOff>
    </xdr:from>
    <xdr:to>
      <xdr:col>2</xdr:col>
      <xdr:colOff>228600</xdr:colOff>
      <xdr:row>26</xdr:row>
      <xdr:rowOff>160020</xdr:rowOff>
    </xdr:to>
    <xdr:cxnSp macro="">
      <xdr:nvCxnSpPr>
        <xdr:cNvPr id="25956" name="Straight Connector 95"/>
        <xdr:cNvCxnSpPr>
          <a:cxnSpLocks noChangeShapeType="1"/>
        </xdr:cNvCxnSpPr>
      </xdr:nvCxnSpPr>
      <xdr:spPr bwMode="auto">
        <a:xfrm rot="10800000">
          <a:off x="1188720" y="5021580"/>
          <a:ext cx="106680" cy="53340"/>
        </a:xfrm>
        <a:prstGeom prst="line">
          <a:avLst/>
        </a:prstGeom>
        <a:noFill/>
        <a:ln w="3175" algn="ctr">
          <a:solidFill>
            <a:srgbClr val="000000"/>
          </a:solidFill>
          <a:round/>
          <a:headEnd/>
          <a:tailEnd/>
        </a:ln>
      </xdr:spPr>
    </xdr:cxnSp>
    <xdr:clientData/>
  </xdr:twoCellAnchor>
  <xdr:twoCellAnchor>
    <xdr:from>
      <xdr:col>1</xdr:col>
      <xdr:colOff>731520</xdr:colOff>
      <xdr:row>26</xdr:row>
      <xdr:rowOff>160020</xdr:rowOff>
    </xdr:from>
    <xdr:to>
      <xdr:col>2</xdr:col>
      <xdr:colOff>762000</xdr:colOff>
      <xdr:row>26</xdr:row>
      <xdr:rowOff>160020</xdr:rowOff>
    </xdr:to>
    <xdr:cxnSp macro="">
      <xdr:nvCxnSpPr>
        <xdr:cNvPr id="25957" name="Straight Arrow Connector 102"/>
        <xdr:cNvCxnSpPr>
          <a:cxnSpLocks noChangeShapeType="1"/>
        </xdr:cNvCxnSpPr>
      </xdr:nvCxnSpPr>
      <xdr:spPr bwMode="auto">
        <a:xfrm>
          <a:off x="853440" y="5074920"/>
          <a:ext cx="97536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1</xdr:col>
      <xdr:colOff>792480</xdr:colOff>
      <xdr:row>13</xdr:row>
      <xdr:rowOff>38100</xdr:rowOff>
    </xdr:from>
    <xdr:to>
      <xdr:col>2</xdr:col>
      <xdr:colOff>960120</xdr:colOff>
      <xdr:row>15</xdr:row>
      <xdr:rowOff>83820</xdr:rowOff>
    </xdr:to>
    <xdr:sp macro="" textlink="">
      <xdr:nvSpPr>
        <xdr:cNvPr id="64" name="TextBox 63"/>
        <xdr:cNvSpPr txBox="1"/>
      </xdr:nvSpPr>
      <xdr:spPr>
        <a:xfrm>
          <a:off x="914400" y="2476500"/>
          <a:ext cx="1112520" cy="4267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sng"/>
            <a:t>Section</a:t>
          </a:r>
          <a:r>
            <a:rPr lang="en-US" sz="1100" b="1" u="sng" baseline="0"/>
            <a:t> A-A</a:t>
          </a:r>
        </a:p>
        <a:p>
          <a:r>
            <a:rPr lang="en-US" sz="800" u="none" baseline="0"/>
            <a:t>       (ARCH)</a:t>
          </a:r>
          <a:endParaRPr lang="en-US" sz="800" u="none"/>
        </a:p>
      </xdr:txBody>
    </xdr:sp>
    <xdr:clientData/>
  </xdr:twoCellAnchor>
  <xdr:twoCellAnchor>
    <xdr:from>
      <xdr:col>1</xdr:col>
      <xdr:colOff>826770</xdr:colOff>
      <xdr:row>20</xdr:row>
      <xdr:rowOff>167640</xdr:rowOff>
    </xdr:from>
    <xdr:to>
      <xdr:col>2</xdr:col>
      <xdr:colOff>883920</xdr:colOff>
      <xdr:row>24</xdr:row>
      <xdr:rowOff>7620</xdr:rowOff>
    </xdr:to>
    <xdr:sp macro="" textlink="">
      <xdr:nvSpPr>
        <xdr:cNvPr id="65" name="TextBox 64"/>
        <xdr:cNvSpPr txBox="1"/>
      </xdr:nvSpPr>
      <xdr:spPr>
        <a:xfrm>
          <a:off x="1215390" y="3688080"/>
          <a:ext cx="613410" cy="5105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sng"/>
            <a:t>Section</a:t>
          </a:r>
          <a:r>
            <a:rPr lang="en-US" sz="1100" b="1" u="sng" baseline="0"/>
            <a:t> A-A</a:t>
          </a:r>
        </a:p>
        <a:p>
          <a:r>
            <a:rPr lang="en-US" sz="800" u="none" baseline="0"/>
            <a:t>    (CIRCULAR)</a:t>
          </a:r>
          <a:endParaRPr lang="en-US" sz="800" u="none"/>
        </a:p>
      </xdr:txBody>
    </xdr:sp>
    <xdr:clientData/>
  </xdr:twoCellAnchor>
  <xdr:twoCellAnchor>
    <xdr:from>
      <xdr:col>1</xdr:col>
      <xdr:colOff>834390</xdr:colOff>
      <xdr:row>27</xdr:row>
      <xdr:rowOff>247650</xdr:rowOff>
    </xdr:from>
    <xdr:to>
      <xdr:col>2</xdr:col>
      <xdr:colOff>880110</xdr:colOff>
      <xdr:row>27</xdr:row>
      <xdr:rowOff>708660</xdr:rowOff>
    </xdr:to>
    <xdr:sp macro="" textlink="">
      <xdr:nvSpPr>
        <xdr:cNvPr id="66" name="TextBox 65"/>
        <xdr:cNvSpPr txBox="1"/>
      </xdr:nvSpPr>
      <xdr:spPr>
        <a:xfrm>
          <a:off x="1215390" y="4857750"/>
          <a:ext cx="609600" cy="38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sng"/>
            <a:t>Section</a:t>
          </a:r>
          <a:r>
            <a:rPr lang="en-US" sz="1100" b="1" u="sng" baseline="0"/>
            <a:t> A-A</a:t>
          </a:r>
        </a:p>
        <a:p>
          <a:r>
            <a:rPr lang="en-US" sz="800" u="none" baseline="0"/>
            <a:t>   (PIPE ARCH)</a:t>
          </a:r>
          <a:endParaRPr lang="en-US" sz="800" u="none"/>
        </a:p>
      </xdr:txBody>
    </xdr:sp>
    <xdr:clientData/>
  </xdr:twoCellAnchor>
  <xdr:twoCellAnchor>
    <xdr:from>
      <xdr:col>3</xdr:col>
      <xdr:colOff>167640</xdr:colOff>
      <xdr:row>8</xdr:row>
      <xdr:rowOff>91440</xdr:rowOff>
    </xdr:from>
    <xdr:to>
      <xdr:col>3</xdr:col>
      <xdr:colOff>167640</xdr:colOff>
      <xdr:row>14</xdr:row>
      <xdr:rowOff>121920</xdr:rowOff>
    </xdr:to>
    <xdr:cxnSp macro="">
      <xdr:nvCxnSpPr>
        <xdr:cNvPr id="25961" name="Straight Connector 129"/>
        <xdr:cNvCxnSpPr>
          <a:cxnSpLocks noChangeShapeType="1"/>
        </xdr:cNvCxnSpPr>
      </xdr:nvCxnSpPr>
      <xdr:spPr bwMode="auto">
        <a:xfrm rot="5400000">
          <a:off x="2644140" y="2164080"/>
          <a:ext cx="1173480" cy="0"/>
        </a:xfrm>
        <a:prstGeom prst="line">
          <a:avLst/>
        </a:prstGeom>
        <a:noFill/>
        <a:ln w="6350" algn="ctr">
          <a:solidFill>
            <a:srgbClr val="000000"/>
          </a:solidFill>
          <a:round/>
          <a:headEnd/>
          <a:tailEnd/>
        </a:ln>
      </xdr:spPr>
    </xdr:cxnSp>
    <xdr:clientData/>
  </xdr:twoCellAnchor>
  <xdr:twoCellAnchor>
    <xdr:from>
      <xdr:col>6</xdr:col>
      <xdr:colOff>449580</xdr:colOff>
      <xdr:row>8</xdr:row>
      <xdr:rowOff>106680</xdr:rowOff>
    </xdr:from>
    <xdr:to>
      <xdr:col>6</xdr:col>
      <xdr:colOff>449580</xdr:colOff>
      <xdr:row>14</xdr:row>
      <xdr:rowOff>99060</xdr:rowOff>
    </xdr:to>
    <xdr:cxnSp macro="">
      <xdr:nvCxnSpPr>
        <xdr:cNvPr id="25962" name="Straight Connector 135"/>
        <xdr:cNvCxnSpPr>
          <a:cxnSpLocks noChangeShapeType="1"/>
        </xdr:cNvCxnSpPr>
      </xdr:nvCxnSpPr>
      <xdr:spPr bwMode="auto">
        <a:xfrm rot="5400000">
          <a:off x="5756910" y="2160270"/>
          <a:ext cx="1135380" cy="0"/>
        </a:xfrm>
        <a:prstGeom prst="line">
          <a:avLst/>
        </a:prstGeom>
        <a:noFill/>
        <a:ln w="6350" algn="ctr">
          <a:solidFill>
            <a:srgbClr val="000000"/>
          </a:solidFill>
          <a:round/>
          <a:headEnd/>
          <a:tailEnd/>
        </a:ln>
      </xdr:spPr>
    </xdr:cxnSp>
    <xdr:clientData/>
  </xdr:twoCellAnchor>
  <xdr:twoCellAnchor>
    <xdr:from>
      <xdr:col>3</xdr:col>
      <xdr:colOff>1021080</xdr:colOff>
      <xdr:row>10</xdr:row>
      <xdr:rowOff>129540</xdr:rowOff>
    </xdr:from>
    <xdr:to>
      <xdr:col>4</xdr:col>
      <xdr:colOff>571500</xdr:colOff>
      <xdr:row>11</xdr:row>
      <xdr:rowOff>22860</xdr:rowOff>
    </xdr:to>
    <xdr:cxnSp macro="">
      <xdr:nvCxnSpPr>
        <xdr:cNvPr id="25963" name="Straight Connector 137"/>
        <xdr:cNvCxnSpPr>
          <a:cxnSpLocks noChangeShapeType="1"/>
        </xdr:cNvCxnSpPr>
      </xdr:nvCxnSpPr>
      <xdr:spPr bwMode="auto">
        <a:xfrm rot="10800000" flipV="1">
          <a:off x="4084320" y="1996440"/>
          <a:ext cx="754380" cy="83820"/>
        </a:xfrm>
        <a:prstGeom prst="line">
          <a:avLst/>
        </a:prstGeom>
        <a:noFill/>
        <a:ln w="9525" algn="ctr">
          <a:solidFill>
            <a:srgbClr val="000000"/>
          </a:solidFill>
          <a:round/>
          <a:headEnd/>
          <a:tailEnd/>
        </a:ln>
      </xdr:spPr>
    </xdr:cxnSp>
    <xdr:clientData/>
  </xdr:twoCellAnchor>
  <xdr:twoCellAnchor>
    <xdr:from>
      <xdr:col>3</xdr:col>
      <xdr:colOff>388620</xdr:colOff>
      <xdr:row>11</xdr:row>
      <xdr:rowOff>30480</xdr:rowOff>
    </xdr:from>
    <xdr:to>
      <xdr:col>3</xdr:col>
      <xdr:colOff>1013460</xdr:colOff>
      <xdr:row>14</xdr:row>
      <xdr:rowOff>129540</xdr:rowOff>
    </xdr:to>
    <xdr:cxnSp macro="">
      <xdr:nvCxnSpPr>
        <xdr:cNvPr id="25964" name="Straight Connector 139"/>
        <xdr:cNvCxnSpPr>
          <a:cxnSpLocks noChangeShapeType="1"/>
          <a:endCxn id="26007" idx="3"/>
        </xdr:cNvCxnSpPr>
      </xdr:nvCxnSpPr>
      <xdr:spPr bwMode="auto">
        <a:xfrm rot="5400000">
          <a:off x="3429000" y="2110740"/>
          <a:ext cx="670560" cy="624840"/>
        </a:xfrm>
        <a:prstGeom prst="line">
          <a:avLst/>
        </a:prstGeom>
        <a:noFill/>
        <a:ln w="9525" algn="ctr">
          <a:solidFill>
            <a:srgbClr val="000000"/>
          </a:solidFill>
          <a:round/>
          <a:headEnd/>
          <a:tailEnd/>
        </a:ln>
      </xdr:spPr>
    </xdr:cxnSp>
    <xdr:clientData/>
  </xdr:twoCellAnchor>
  <xdr:twoCellAnchor>
    <xdr:from>
      <xdr:col>3</xdr:col>
      <xdr:colOff>175260</xdr:colOff>
      <xdr:row>14</xdr:row>
      <xdr:rowOff>175260</xdr:rowOff>
    </xdr:from>
    <xdr:to>
      <xdr:col>3</xdr:col>
      <xdr:colOff>175260</xdr:colOff>
      <xdr:row>17</xdr:row>
      <xdr:rowOff>60960</xdr:rowOff>
    </xdr:to>
    <xdr:cxnSp macro="">
      <xdr:nvCxnSpPr>
        <xdr:cNvPr id="25965" name="Straight Connector 143"/>
        <xdr:cNvCxnSpPr>
          <a:cxnSpLocks noChangeShapeType="1"/>
        </xdr:cNvCxnSpPr>
      </xdr:nvCxnSpPr>
      <xdr:spPr bwMode="auto">
        <a:xfrm rot="5400000">
          <a:off x="3009900" y="3032760"/>
          <a:ext cx="457200" cy="0"/>
        </a:xfrm>
        <a:prstGeom prst="line">
          <a:avLst/>
        </a:prstGeom>
        <a:noFill/>
        <a:ln w="9525" algn="ctr">
          <a:solidFill>
            <a:srgbClr val="000000"/>
          </a:solidFill>
          <a:round/>
          <a:headEnd/>
          <a:tailEnd/>
        </a:ln>
      </xdr:spPr>
    </xdr:cxnSp>
    <xdr:clientData/>
  </xdr:twoCellAnchor>
  <xdr:twoCellAnchor>
    <xdr:from>
      <xdr:col>4</xdr:col>
      <xdr:colOff>571500</xdr:colOff>
      <xdr:row>10</xdr:row>
      <xdr:rowOff>129540</xdr:rowOff>
    </xdr:from>
    <xdr:to>
      <xdr:col>5</xdr:col>
      <xdr:colOff>419100</xdr:colOff>
      <xdr:row>11</xdr:row>
      <xdr:rowOff>22860</xdr:rowOff>
    </xdr:to>
    <xdr:cxnSp macro="">
      <xdr:nvCxnSpPr>
        <xdr:cNvPr id="25966" name="Straight Connector 146"/>
        <xdr:cNvCxnSpPr>
          <a:cxnSpLocks noChangeShapeType="1"/>
        </xdr:cNvCxnSpPr>
      </xdr:nvCxnSpPr>
      <xdr:spPr bwMode="auto">
        <a:xfrm>
          <a:off x="4838700" y="1996440"/>
          <a:ext cx="678180" cy="83820"/>
        </a:xfrm>
        <a:prstGeom prst="line">
          <a:avLst/>
        </a:prstGeom>
        <a:noFill/>
        <a:ln w="9525" algn="ctr">
          <a:solidFill>
            <a:srgbClr val="000000"/>
          </a:solidFill>
          <a:round/>
          <a:headEnd/>
          <a:tailEnd/>
        </a:ln>
      </xdr:spPr>
    </xdr:cxnSp>
    <xdr:clientData/>
  </xdr:twoCellAnchor>
  <xdr:twoCellAnchor>
    <xdr:from>
      <xdr:col>5</xdr:col>
      <xdr:colOff>411480</xdr:colOff>
      <xdr:row>11</xdr:row>
      <xdr:rowOff>22860</xdr:rowOff>
    </xdr:from>
    <xdr:to>
      <xdr:col>6</xdr:col>
      <xdr:colOff>312420</xdr:colOff>
      <xdr:row>14</xdr:row>
      <xdr:rowOff>129540</xdr:rowOff>
    </xdr:to>
    <xdr:cxnSp macro="">
      <xdr:nvCxnSpPr>
        <xdr:cNvPr id="25967" name="Straight Connector 148"/>
        <xdr:cNvCxnSpPr>
          <a:cxnSpLocks noChangeShapeType="1"/>
          <a:endCxn id="26007" idx="43"/>
        </xdr:cNvCxnSpPr>
      </xdr:nvCxnSpPr>
      <xdr:spPr bwMode="auto">
        <a:xfrm rot="16200000" flipH="1">
          <a:off x="5509260" y="2080260"/>
          <a:ext cx="678180" cy="678180"/>
        </a:xfrm>
        <a:prstGeom prst="line">
          <a:avLst/>
        </a:prstGeom>
        <a:noFill/>
        <a:ln w="9525" algn="ctr">
          <a:solidFill>
            <a:srgbClr val="000000"/>
          </a:solidFill>
          <a:round/>
          <a:headEnd/>
          <a:tailEnd/>
        </a:ln>
      </xdr:spPr>
    </xdr:cxnSp>
    <xdr:clientData/>
  </xdr:twoCellAnchor>
  <xdr:twoCellAnchor>
    <xdr:from>
      <xdr:col>6</xdr:col>
      <xdr:colOff>449580</xdr:colOff>
      <xdr:row>14</xdr:row>
      <xdr:rowOff>129540</xdr:rowOff>
    </xdr:from>
    <xdr:to>
      <xdr:col>6</xdr:col>
      <xdr:colOff>449580</xdr:colOff>
      <xdr:row>17</xdr:row>
      <xdr:rowOff>15240</xdr:rowOff>
    </xdr:to>
    <xdr:cxnSp macro="">
      <xdr:nvCxnSpPr>
        <xdr:cNvPr id="25968" name="Straight Connector 150"/>
        <xdr:cNvCxnSpPr>
          <a:cxnSpLocks noChangeShapeType="1"/>
        </xdr:cNvCxnSpPr>
      </xdr:nvCxnSpPr>
      <xdr:spPr bwMode="auto">
        <a:xfrm rot="5400000">
          <a:off x="6096000" y="2987040"/>
          <a:ext cx="457200" cy="0"/>
        </a:xfrm>
        <a:prstGeom prst="line">
          <a:avLst/>
        </a:prstGeom>
        <a:noFill/>
        <a:ln w="9525" algn="ctr">
          <a:solidFill>
            <a:srgbClr val="000000"/>
          </a:solidFill>
          <a:round/>
          <a:headEnd/>
          <a:tailEnd/>
        </a:ln>
      </xdr:spPr>
    </xdr:cxnSp>
    <xdr:clientData/>
  </xdr:twoCellAnchor>
  <xdr:twoCellAnchor>
    <xdr:from>
      <xdr:col>2</xdr:col>
      <xdr:colOff>1554480</xdr:colOff>
      <xdr:row>17</xdr:row>
      <xdr:rowOff>60960</xdr:rowOff>
    </xdr:from>
    <xdr:to>
      <xdr:col>3</xdr:col>
      <xdr:colOff>175260</xdr:colOff>
      <xdr:row>17</xdr:row>
      <xdr:rowOff>60960</xdr:rowOff>
    </xdr:to>
    <xdr:cxnSp macro="">
      <xdr:nvCxnSpPr>
        <xdr:cNvPr id="25969" name="Straight Connector 154"/>
        <xdr:cNvCxnSpPr>
          <a:cxnSpLocks noChangeShapeType="1"/>
        </xdr:cNvCxnSpPr>
      </xdr:nvCxnSpPr>
      <xdr:spPr bwMode="auto">
        <a:xfrm rot="10800000">
          <a:off x="2621280" y="3261360"/>
          <a:ext cx="617220" cy="0"/>
        </a:xfrm>
        <a:prstGeom prst="line">
          <a:avLst/>
        </a:prstGeom>
        <a:noFill/>
        <a:ln w="6350" algn="ctr">
          <a:solidFill>
            <a:srgbClr val="000000"/>
          </a:solidFill>
          <a:round/>
          <a:headEnd/>
          <a:tailEnd/>
        </a:ln>
      </xdr:spPr>
    </xdr:cxnSp>
    <xdr:clientData/>
  </xdr:twoCellAnchor>
  <xdr:twoCellAnchor>
    <xdr:from>
      <xdr:col>6</xdr:col>
      <xdr:colOff>449580</xdr:colOff>
      <xdr:row>17</xdr:row>
      <xdr:rowOff>15240</xdr:rowOff>
    </xdr:from>
    <xdr:to>
      <xdr:col>8</xdr:col>
      <xdr:colOff>137160</xdr:colOff>
      <xdr:row>17</xdr:row>
      <xdr:rowOff>15240</xdr:rowOff>
    </xdr:to>
    <xdr:cxnSp macro="">
      <xdr:nvCxnSpPr>
        <xdr:cNvPr id="25970" name="Straight Connector 156"/>
        <xdr:cNvCxnSpPr>
          <a:cxnSpLocks noChangeShapeType="1"/>
        </xdr:cNvCxnSpPr>
      </xdr:nvCxnSpPr>
      <xdr:spPr bwMode="auto">
        <a:xfrm>
          <a:off x="6324600" y="3215640"/>
          <a:ext cx="624840" cy="0"/>
        </a:xfrm>
        <a:prstGeom prst="line">
          <a:avLst/>
        </a:prstGeom>
        <a:noFill/>
        <a:ln w="6350" algn="ctr">
          <a:solidFill>
            <a:srgbClr val="000000"/>
          </a:solidFill>
          <a:round/>
          <a:headEnd/>
          <a:tailEnd/>
        </a:ln>
      </xdr:spPr>
    </xdr:cxnSp>
    <xdr:clientData/>
  </xdr:twoCellAnchor>
  <xdr:twoCellAnchor>
    <xdr:from>
      <xdr:col>3</xdr:col>
      <xdr:colOff>167640</xdr:colOff>
      <xdr:row>8</xdr:row>
      <xdr:rowOff>152400</xdr:rowOff>
    </xdr:from>
    <xdr:to>
      <xdr:col>6</xdr:col>
      <xdr:colOff>449580</xdr:colOff>
      <xdr:row>8</xdr:row>
      <xdr:rowOff>152400</xdr:rowOff>
    </xdr:to>
    <xdr:cxnSp macro="">
      <xdr:nvCxnSpPr>
        <xdr:cNvPr id="25971" name="Straight Arrow Connector 158"/>
        <xdr:cNvCxnSpPr>
          <a:cxnSpLocks noChangeShapeType="1"/>
        </xdr:cNvCxnSpPr>
      </xdr:nvCxnSpPr>
      <xdr:spPr bwMode="auto">
        <a:xfrm>
          <a:off x="3230880" y="1638300"/>
          <a:ext cx="3093720" cy="0"/>
        </a:xfrm>
        <a:prstGeom prst="straightConnector1">
          <a:avLst/>
        </a:prstGeom>
        <a:noFill/>
        <a:ln w="0" algn="ctr">
          <a:solidFill>
            <a:srgbClr val="000000"/>
          </a:solidFill>
          <a:round/>
          <a:headEnd type="stealth" w="sm" len="sm"/>
          <a:tailEnd type="stealth" w="sm" len="sm"/>
        </a:ln>
      </xdr:spPr>
    </xdr:cxnSp>
    <xdr:clientData/>
  </xdr:twoCellAnchor>
  <xdr:twoCellAnchor>
    <xdr:from>
      <xdr:col>4</xdr:col>
      <xdr:colOff>640080</xdr:colOff>
      <xdr:row>14</xdr:row>
      <xdr:rowOff>175260</xdr:rowOff>
    </xdr:from>
    <xdr:to>
      <xdr:col>4</xdr:col>
      <xdr:colOff>640080</xdr:colOff>
      <xdr:row>17</xdr:row>
      <xdr:rowOff>7620</xdr:rowOff>
    </xdr:to>
    <xdr:cxnSp macro="">
      <xdr:nvCxnSpPr>
        <xdr:cNvPr id="25975" name="Straight Arrow Connector 184"/>
        <xdr:cNvCxnSpPr>
          <a:cxnSpLocks noChangeShapeType="1"/>
        </xdr:cNvCxnSpPr>
      </xdr:nvCxnSpPr>
      <xdr:spPr bwMode="auto">
        <a:xfrm rot="5400000">
          <a:off x="4705350" y="3006090"/>
          <a:ext cx="40386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2</xdr:col>
      <xdr:colOff>1668780</xdr:colOff>
      <xdr:row>17</xdr:row>
      <xdr:rowOff>60960</xdr:rowOff>
    </xdr:from>
    <xdr:to>
      <xdr:col>2</xdr:col>
      <xdr:colOff>1729740</xdr:colOff>
      <xdr:row>17</xdr:row>
      <xdr:rowOff>160020</xdr:rowOff>
    </xdr:to>
    <xdr:cxnSp macro="">
      <xdr:nvCxnSpPr>
        <xdr:cNvPr id="25976" name="Straight Connector 90"/>
        <xdr:cNvCxnSpPr>
          <a:cxnSpLocks noChangeShapeType="1"/>
        </xdr:cNvCxnSpPr>
      </xdr:nvCxnSpPr>
      <xdr:spPr bwMode="auto">
        <a:xfrm rot="5400000">
          <a:off x="2716530" y="3280410"/>
          <a:ext cx="99060" cy="60960"/>
        </a:xfrm>
        <a:prstGeom prst="line">
          <a:avLst/>
        </a:prstGeom>
        <a:noFill/>
        <a:ln w="3175" algn="ctr">
          <a:solidFill>
            <a:srgbClr val="000000"/>
          </a:solidFill>
          <a:round/>
          <a:headEnd/>
          <a:tailEnd/>
        </a:ln>
      </xdr:spPr>
    </xdr:cxnSp>
    <xdr:clientData/>
  </xdr:twoCellAnchor>
  <xdr:twoCellAnchor>
    <xdr:from>
      <xdr:col>2</xdr:col>
      <xdr:colOff>1699260</xdr:colOff>
      <xdr:row>17</xdr:row>
      <xdr:rowOff>60960</xdr:rowOff>
    </xdr:from>
    <xdr:to>
      <xdr:col>2</xdr:col>
      <xdr:colOff>1752600</xdr:colOff>
      <xdr:row>17</xdr:row>
      <xdr:rowOff>152400</xdr:rowOff>
    </xdr:to>
    <xdr:cxnSp macro="">
      <xdr:nvCxnSpPr>
        <xdr:cNvPr id="25977" name="Straight Connector 92"/>
        <xdr:cNvCxnSpPr>
          <a:cxnSpLocks noChangeShapeType="1"/>
        </xdr:cNvCxnSpPr>
      </xdr:nvCxnSpPr>
      <xdr:spPr bwMode="auto">
        <a:xfrm rot="5400000">
          <a:off x="2747010" y="3280410"/>
          <a:ext cx="91440" cy="53340"/>
        </a:xfrm>
        <a:prstGeom prst="line">
          <a:avLst/>
        </a:prstGeom>
        <a:noFill/>
        <a:ln w="3175" algn="ctr">
          <a:solidFill>
            <a:srgbClr val="000000"/>
          </a:solidFill>
          <a:round/>
          <a:headEnd/>
          <a:tailEnd/>
        </a:ln>
      </xdr:spPr>
    </xdr:cxnSp>
    <xdr:clientData/>
  </xdr:twoCellAnchor>
  <xdr:twoCellAnchor>
    <xdr:from>
      <xdr:col>2</xdr:col>
      <xdr:colOff>1722120</xdr:colOff>
      <xdr:row>17</xdr:row>
      <xdr:rowOff>68580</xdr:rowOff>
    </xdr:from>
    <xdr:to>
      <xdr:col>2</xdr:col>
      <xdr:colOff>1775460</xdr:colOff>
      <xdr:row>17</xdr:row>
      <xdr:rowOff>160020</xdr:rowOff>
    </xdr:to>
    <xdr:cxnSp macro="">
      <xdr:nvCxnSpPr>
        <xdr:cNvPr id="25978" name="Straight Connector 93"/>
        <xdr:cNvCxnSpPr>
          <a:cxnSpLocks noChangeShapeType="1"/>
        </xdr:cNvCxnSpPr>
      </xdr:nvCxnSpPr>
      <xdr:spPr bwMode="auto">
        <a:xfrm rot="5400000">
          <a:off x="2769870" y="3288030"/>
          <a:ext cx="91440" cy="53340"/>
        </a:xfrm>
        <a:prstGeom prst="line">
          <a:avLst/>
        </a:prstGeom>
        <a:noFill/>
        <a:ln w="3175" algn="ctr">
          <a:solidFill>
            <a:srgbClr val="000000"/>
          </a:solidFill>
          <a:round/>
          <a:headEnd/>
          <a:tailEnd/>
        </a:ln>
      </xdr:spPr>
    </xdr:cxnSp>
    <xdr:clientData/>
  </xdr:twoCellAnchor>
  <xdr:twoCellAnchor>
    <xdr:from>
      <xdr:col>2</xdr:col>
      <xdr:colOff>1859280</xdr:colOff>
      <xdr:row>17</xdr:row>
      <xdr:rowOff>60960</xdr:rowOff>
    </xdr:from>
    <xdr:to>
      <xdr:col>2</xdr:col>
      <xdr:colOff>1912620</xdr:colOff>
      <xdr:row>17</xdr:row>
      <xdr:rowOff>160020</xdr:rowOff>
    </xdr:to>
    <xdr:cxnSp macro="">
      <xdr:nvCxnSpPr>
        <xdr:cNvPr id="25979" name="Straight Connector 99"/>
        <xdr:cNvCxnSpPr>
          <a:cxnSpLocks noChangeShapeType="1"/>
        </xdr:cNvCxnSpPr>
      </xdr:nvCxnSpPr>
      <xdr:spPr bwMode="auto">
        <a:xfrm rot="5400000">
          <a:off x="2903220" y="3284220"/>
          <a:ext cx="99060" cy="53340"/>
        </a:xfrm>
        <a:prstGeom prst="line">
          <a:avLst/>
        </a:prstGeom>
        <a:noFill/>
        <a:ln w="3175" algn="ctr">
          <a:solidFill>
            <a:srgbClr val="000000"/>
          </a:solidFill>
          <a:round/>
          <a:headEnd/>
          <a:tailEnd/>
        </a:ln>
      </xdr:spPr>
    </xdr:cxnSp>
    <xdr:clientData/>
  </xdr:twoCellAnchor>
  <xdr:twoCellAnchor>
    <xdr:from>
      <xdr:col>2</xdr:col>
      <xdr:colOff>1897380</xdr:colOff>
      <xdr:row>17</xdr:row>
      <xdr:rowOff>60960</xdr:rowOff>
    </xdr:from>
    <xdr:to>
      <xdr:col>2</xdr:col>
      <xdr:colOff>1950720</xdr:colOff>
      <xdr:row>17</xdr:row>
      <xdr:rowOff>152400</xdr:rowOff>
    </xdr:to>
    <xdr:cxnSp macro="">
      <xdr:nvCxnSpPr>
        <xdr:cNvPr id="25980" name="Straight Connector 100"/>
        <xdr:cNvCxnSpPr>
          <a:cxnSpLocks noChangeShapeType="1"/>
        </xdr:cNvCxnSpPr>
      </xdr:nvCxnSpPr>
      <xdr:spPr bwMode="auto">
        <a:xfrm rot="5400000">
          <a:off x="2945130" y="3280410"/>
          <a:ext cx="91440" cy="53340"/>
        </a:xfrm>
        <a:prstGeom prst="line">
          <a:avLst/>
        </a:prstGeom>
        <a:noFill/>
        <a:ln w="3175" algn="ctr">
          <a:solidFill>
            <a:srgbClr val="000000"/>
          </a:solidFill>
          <a:round/>
          <a:headEnd/>
          <a:tailEnd/>
        </a:ln>
      </xdr:spPr>
    </xdr:cxnSp>
    <xdr:clientData/>
  </xdr:twoCellAnchor>
  <xdr:twoCellAnchor>
    <xdr:from>
      <xdr:col>2</xdr:col>
      <xdr:colOff>1920240</xdr:colOff>
      <xdr:row>17</xdr:row>
      <xdr:rowOff>68580</xdr:rowOff>
    </xdr:from>
    <xdr:to>
      <xdr:col>2</xdr:col>
      <xdr:colOff>1981200</xdr:colOff>
      <xdr:row>17</xdr:row>
      <xdr:rowOff>160020</xdr:rowOff>
    </xdr:to>
    <xdr:cxnSp macro="">
      <xdr:nvCxnSpPr>
        <xdr:cNvPr id="25981" name="Straight Connector 101"/>
        <xdr:cNvCxnSpPr>
          <a:cxnSpLocks noChangeShapeType="1"/>
        </xdr:cNvCxnSpPr>
      </xdr:nvCxnSpPr>
      <xdr:spPr bwMode="auto">
        <a:xfrm rot="5400000">
          <a:off x="2971800" y="3284220"/>
          <a:ext cx="91440" cy="60960"/>
        </a:xfrm>
        <a:prstGeom prst="line">
          <a:avLst/>
        </a:prstGeom>
        <a:noFill/>
        <a:ln w="3175" algn="ctr">
          <a:solidFill>
            <a:srgbClr val="000000"/>
          </a:solidFill>
          <a:round/>
          <a:headEnd/>
          <a:tailEnd/>
        </a:ln>
      </xdr:spPr>
    </xdr:cxnSp>
    <xdr:clientData/>
  </xdr:twoCellAnchor>
  <xdr:twoCellAnchor>
    <xdr:from>
      <xdr:col>2</xdr:col>
      <xdr:colOff>1950720</xdr:colOff>
      <xdr:row>17</xdr:row>
      <xdr:rowOff>68580</xdr:rowOff>
    </xdr:from>
    <xdr:to>
      <xdr:col>2</xdr:col>
      <xdr:colOff>2021840</xdr:colOff>
      <xdr:row>17</xdr:row>
      <xdr:rowOff>160020</xdr:rowOff>
    </xdr:to>
    <xdr:cxnSp macro="">
      <xdr:nvCxnSpPr>
        <xdr:cNvPr id="25982" name="Straight Connector 102"/>
        <xdr:cNvCxnSpPr>
          <a:cxnSpLocks noChangeShapeType="1"/>
        </xdr:cNvCxnSpPr>
      </xdr:nvCxnSpPr>
      <xdr:spPr bwMode="auto">
        <a:xfrm rot="5400000">
          <a:off x="3007360" y="3949700"/>
          <a:ext cx="91440" cy="71120"/>
        </a:xfrm>
        <a:prstGeom prst="line">
          <a:avLst/>
        </a:prstGeom>
        <a:noFill/>
        <a:ln w="3175" algn="ctr">
          <a:solidFill>
            <a:srgbClr val="000000"/>
          </a:solidFill>
          <a:round/>
          <a:headEnd/>
          <a:tailEnd/>
        </a:ln>
      </xdr:spPr>
    </xdr:cxnSp>
    <xdr:clientData/>
  </xdr:twoCellAnchor>
  <xdr:twoCellAnchor>
    <xdr:from>
      <xdr:col>2</xdr:col>
      <xdr:colOff>1805940</xdr:colOff>
      <xdr:row>17</xdr:row>
      <xdr:rowOff>83820</xdr:rowOff>
    </xdr:from>
    <xdr:to>
      <xdr:col>2</xdr:col>
      <xdr:colOff>1897380</xdr:colOff>
      <xdr:row>17</xdr:row>
      <xdr:rowOff>83820</xdr:rowOff>
    </xdr:to>
    <xdr:cxnSp macro="">
      <xdr:nvCxnSpPr>
        <xdr:cNvPr id="25983" name="Straight Connector 104"/>
        <xdr:cNvCxnSpPr>
          <a:cxnSpLocks noChangeShapeType="1"/>
        </xdr:cNvCxnSpPr>
      </xdr:nvCxnSpPr>
      <xdr:spPr bwMode="auto">
        <a:xfrm>
          <a:off x="2872740" y="3284220"/>
          <a:ext cx="91440" cy="0"/>
        </a:xfrm>
        <a:prstGeom prst="line">
          <a:avLst/>
        </a:prstGeom>
        <a:noFill/>
        <a:ln w="3175" algn="ctr">
          <a:solidFill>
            <a:srgbClr val="000000"/>
          </a:solidFill>
          <a:round/>
          <a:headEnd/>
          <a:tailEnd/>
        </a:ln>
      </xdr:spPr>
    </xdr:cxnSp>
    <xdr:clientData/>
  </xdr:twoCellAnchor>
  <xdr:twoCellAnchor>
    <xdr:from>
      <xdr:col>2</xdr:col>
      <xdr:colOff>1790700</xdr:colOff>
      <xdr:row>17</xdr:row>
      <xdr:rowOff>106680</xdr:rowOff>
    </xdr:from>
    <xdr:to>
      <xdr:col>2</xdr:col>
      <xdr:colOff>1882140</xdr:colOff>
      <xdr:row>17</xdr:row>
      <xdr:rowOff>106680</xdr:rowOff>
    </xdr:to>
    <xdr:cxnSp macro="">
      <xdr:nvCxnSpPr>
        <xdr:cNvPr id="25984" name="Straight Connector 107"/>
        <xdr:cNvCxnSpPr>
          <a:cxnSpLocks noChangeShapeType="1"/>
        </xdr:cNvCxnSpPr>
      </xdr:nvCxnSpPr>
      <xdr:spPr bwMode="auto">
        <a:xfrm>
          <a:off x="2857500" y="3307080"/>
          <a:ext cx="91440" cy="0"/>
        </a:xfrm>
        <a:prstGeom prst="line">
          <a:avLst/>
        </a:prstGeom>
        <a:noFill/>
        <a:ln w="3175" algn="ctr">
          <a:solidFill>
            <a:srgbClr val="000000"/>
          </a:solidFill>
          <a:round/>
          <a:headEnd/>
          <a:tailEnd/>
        </a:ln>
      </xdr:spPr>
    </xdr:cxnSp>
    <xdr:clientData/>
  </xdr:twoCellAnchor>
  <xdr:twoCellAnchor>
    <xdr:from>
      <xdr:col>2</xdr:col>
      <xdr:colOff>1767840</xdr:colOff>
      <xdr:row>17</xdr:row>
      <xdr:rowOff>160020</xdr:rowOff>
    </xdr:from>
    <xdr:to>
      <xdr:col>2</xdr:col>
      <xdr:colOff>1859280</xdr:colOff>
      <xdr:row>17</xdr:row>
      <xdr:rowOff>160020</xdr:rowOff>
    </xdr:to>
    <xdr:cxnSp macro="">
      <xdr:nvCxnSpPr>
        <xdr:cNvPr id="25985" name="Straight Connector 111"/>
        <xdr:cNvCxnSpPr>
          <a:cxnSpLocks noChangeShapeType="1"/>
        </xdr:cNvCxnSpPr>
      </xdr:nvCxnSpPr>
      <xdr:spPr bwMode="auto">
        <a:xfrm>
          <a:off x="2834640" y="3360420"/>
          <a:ext cx="91440" cy="0"/>
        </a:xfrm>
        <a:prstGeom prst="line">
          <a:avLst/>
        </a:prstGeom>
        <a:noFill/>
        <a:ln w="3175" algn="ctr">
          <a:solidFill>
            <a:srgbClr val="000000"/>
          </a:solidFill>
          <a:round/>
          <a:headEnd/>
          <a:tailEnd/>
        </a:ln>
      </xdr:spPr>
    </xdr:cxnSp>
    <xdr:clientData/>
  </xdr:twoCellAnchor>
  <xdr:twoCellAnchor>
    <xdr:from>
      <xdr:col>2</xdr:col>
      <xdr:colOff>1775460</xdr:colOff>
      <xdr:row>17</xdr:row>
      <xdr:rowOff>137160</xdr:rowOff>
    </xdr:from>
    <xdr:to>
      <xdr:col>2</xdr:col>
      <xdr:colOff>1874520</xdr:colOff>
      <xdr:row>17</xdr:row>
      <xdr:rowOff>137160</xdr:rowOff>
    </xdr:to>
    <xdr:cxnSp macro="">
      <xdr:nvCxnSpPr>
        <xdr:cNvPr id="25986" name="Straight Connector 113"/>
        <xdr:cNvCxnSpPr>
          <a:cxnSpLocks noChangeShapeType="1"/>
        </xdr:cNvCxnSpPr>
      </xdr:nvCxnSpPr>
      <xdr:spPr bwMode="auto">
        <a:xfrm>
          <a:off x="2842260" y="3337560"/>
          <a:ext cx="99060" cy="0"/>
        </a:xfrm>
        <a:prstGeom prst="line">
          <a:avLst/>
        </a:prstGeom>
        <a:noFill/>
        <a:ln w="3175" algn="ctr">
          <a:solidFill>
            <a:srgbClr val="000000"/>
          </a:solidFill>
          <a:round/>
          <a:headEnd/>
          <a:tailEnd/>
        </a:ln>
      </xdr:spPr>
    </xdr:cxnSp>
    <xdr:clientData/>
  </xdr:twoCellAnchor>
  <xdr:twoCellAnchor>
    <xdr:from>
      <xdr:col>6</xdr:col>
      <xdr:colOff>802640</xdr:colOff>
      <xdr:row>17</xdr:row>
      <xdr:rowOff>15240</xdr:rowOff>
    </xdr:from>
    <xdr:to>
      <xdr:col>7</xdr:col>
      <xdr:colOff>30480</xdr:colOff>
      <xdr:row>17</xdr:row>
      <xdr:rowOff>101600</xdr:rowOff>
    </xdr:to>
    <xdr:cxnSp macro="">
      <xdr:nvCxnSpPr>
        <xdr:cNvPr id="25987" name="Straight Connector 90"/>
        <xdr:cNvCxnSpPr>
          <a:cxnSpLocks noChangeShapeType="1"/>
        </xdr:cNvCxnSpPr>
      </xdr:nvCxnSpPr>
      <xdr:spPr bwMode="auto">
        <a:xfrm rot="5400000">
          <a:off x="6922770" y="3900170"/>
          <a:ext cx="86360" cy="58420"/>
        </a:xfrm>
        <a:prstGeom prst="line">
          <a:avLst/>
        </a:prstGeom>
        <a:noFill/>
        <a:ln w="3175" algn="ctr">
          <a:solidFill>
            <a:srgbClr val="000000"/>
          </a:solidFill>
          <a:round/>
          <a:headEnd/>
          <a:tailEnd/>
        </a:ln>
      </xdr:spPr>
    </xdr:cxnSp>
    <xdr:clientData/>
  </xdr:twoCellAnchor>
  <xdr:twoCellAnchor>
    <xdr:from>
      <xdr:col>7</xdr:col>
      <xdr:colOff>0</xdr:colOff>
      <xdr:row>17</xdr:row>
      <xdr:rowOff>15240</xdr:rowOff>
    </xdr:from>
    <xdr:to>
      <xdr:col>7</xdr:col>
      <xdr:colOff>53340</xdr:colOff>
      <xdr:row>17</xdr:row>
      <xdr:rowOff>106680</xdr:rowOff>
    </xdr:to>
    <xdr:cxnSp macro="">
      <xdr:nvCxnSpPr>
        <xdr:cNvPr id="25988" name="Straight Connector 92"/>
        <xdr:cNvCxnSpPr>
          <a:cxnSpLocks noChangeShapeType="1"/>
        </xdr:cNvCxnSpPr>
      </xdr:nvCxnSpPr>
      <xdr:spPr bwMode="auto">
        <a:xfrm rot="5400000">
          <a:off x="6587490" y="3234690"/>
          <a:ext cx="91440" cy="53340"/>
        </a:xfrm>
        <a:prstGeom prst="line">
          <a:avLst/>
        </a:prstGeom>
        <a:noFill/>
        <a:ln w="3175" algn="ctr">
          <a:solidFill>
            <a:srgbClr val="000000"/>
          </a:solidFill>
          <a:round/>
          <a:headEnd/>
          <a:tailEnd/>
        </a:ln>
      </xdr:spPr>
    </xdr:cxnSp>
    <xdr:clientData/>
  </xdr:twoCellAnchor>
  <xdr:twoCellAnchor>
    <xdr:from>
      <xdr:col>7</xdr:col>
      <xdr:colOff>22860</xdr:colOff>
      <xdr:row>17</xdr:row>
      <xdr:rowOff>22860</xdr:rowOff>
    </xdr:from>
    <xdr:to>
      <xdr:col>7</xdr:col>
      <xdr:colOff>76200</xdr:colOff>
      <xdr:row>17</xdr:row>
      <xdr:rowOff>114300</xdr:rowOff>
    </xdr:to>
    <xdr:cxnSp macro="">
      <xdr:nvCxnSpPr>
        <xdr:cNvPr id="25989" name="Straight Connector 93"/>
        <xdr:cNvCxnSpPr>
          <a:cxnSpLocks noChangeShapeType="1"/>
        </xdr:cNvCxnSpPr>
      </xdr:nvCxnSpPr>
      <xdr:spPr bwMode="auto">
        <a:xfrm rot="5400000">
          <a:off x="6610350" y="3242310"/>
          <a:ext cx="91440" cy="53340"/>
        </a:xfrm>
        <a:prstGeom prst="line">
          <a:avLst/>
        </a:prstGeom>
        <a:noFill/>
        <a:ln w="3175" algn="ctr">
          <a:solidFill>
            <a:srgbClr val="000000"/>
          </a:solidFill>
          <a:round/>
          <a:headEnd/>
          <a:tailEnd/>
        </a:ln>
      </xdr:spPr>
    </xdr:cxnSp>
    <xdr:clientData/>
  </xdr:twoCellAnchor>
  <xdr:twoCellAnchor>
    <xdr:from>
      <xdr:col>7</xdr:col>
      <xdr:colOff>167640</xdr:colOff>
      <xdr:row>17</xdr:row>
      <xdr:rowOff>15240</xdr:rowOff>
    </xdr:from>
    <xdr:to>
      <xdr:col>8</xdr:col>
      <xdr:colOff>15240</xdr:colOff>
      <xdr:row>17</xdr:row>
      <xdr:rowOff>114300</xdr:rowOff>
    </xdr:to>
    <xdr:cxnSp macro="">
      <xdr:nvCxnSpPr>
        <xdr:cNvPr id="25990" name="Straight Connector 99"/>
        <xdr:cNvCxnSpPr>
          <a:cxnSpLocks noChangeShapeType="1"/>
        </xdr:cNvCxnSpPr>
      </xdr:nvCxnSpPr>
      <xdr:spPr bwMode="auto">
        <a:xfrm rot="5400000">
          <a:off x="6751320" y="3238500"/>
          <a:ext cx="99060" cy="53340"/>
        </a:xfrm>
        <a:prstGeom prst="line">
          <a:avLst/>
        </a:prstGeom>
        <a:noFill/>
        <a:ln w="3175" algn="ctr">
          <a:solidFill>
            <a:srgbClr val="000000"/>
          </a:solidFill>
          <a:round/>
          <a:headEnd/>
          <a:tailEnd/>
        </a:ln>
      </xdr:spPr>
    </xdr:cxnSp>
    <xdr:clientData/>
  </xdr:twoCellAnchor>
  <xdr:twoCellAnchor>
    <xdr:from>
      <xdr:col>7</xdr:col>
      <xdr:colOff>198120</xdr:colOff>
      <xdr:row>17</xdr:row>
      <xdr:rowOff>15240</xdr:rowOff>
    </xdr:from>
    <xdr:to>
      <xdr:col>8</xdr:col>
      <xdr:colOff>45720</xdr:colOff>
      <xdr:row>17</xdr:row>
      <xdr:rowOff>106680</xdr:rowOff>
    </xdr:to>
    <xdr:cxnSp macro="">
      <xdr:nvCxnSpPr>
        <xdr:cNvPr id="25991" name="Straight Connector 100"/>
        <xdr:cNvCxnSpPr>
          <a:cxnSpLocks noChangeShapeType="1"/>
        </xdr:cNvCxnSpPr>
      </xdr:nvCxnSpPr>
      <xdr:spPr bwMode="auto">
        <a:xfrm rot="5400000">
          <a:off x="6785610" y="3234690"/>
          <a:ext cx="91440" cy="53340"/>
        </a:xfrm>
        <a:prstGeom prst="line">
          <a:avLst/>
        </a:prstGeom>
        <a:noFill/>
        <a:ln w="3175" algn="ctr">
          <a:solidFill>
            <a:srgbClr val="000000"/>
          </a:solidFill>
          <a:round/>
          <a:headEnd/>
          <a:tailEnd/>
        </a:ln>
      </xdr:spPr>
    </xdr:cxnSp>
    <xdr:clientData/>
  </xdr:twoCellAnchor>
  <xdr:twoCellAnchor>
    <xdr:from>
      <xdr:col>8</xdr:col>
      <xdr:colOff>15240</xdr:colOff>
      <xdr:row>17</xdr:row>
      <xdr:rowOff>22860</xdr:rowOff>
    </xdr:from>
    <xdr:to>
      <xdr:col>8</xdr:col>
      <xdr:colOff>76200</xdr:colOff>
      <xdr:row>17</xdr:row>
      <xdr:rowOff>114300</xdr:rowOff>
    </xdr:to>
    <xdr:cxnSp macro="">
      <xdr:nvCxnSpPr>
        <xdr:cNvPr id="25992" name="Straight Connector 101"/>
        <xdr:cNvCxnSpPr>
          <a:cxnSpLocks noChangeShapeType="1"/>
        </xdr:cNvCxnSpPr>
      </xdr:nvCxnSpPr>
      <xdr:spPr bwMode="auto">
        <a:xfrm rot="5400000">
          <a:off x="6812280" y="3238500"/>
          <a:ext cx="91440" cy="60960"/>
        </a:xfrm>
        <a:prstGeom prst="line">
          <a:avLst/>
        </a:prstGeom>
        <a:noFill/>
        <a:ln w="3175" algn="ctr">
          <a:solidFill>
            <a:srgbClr val="000000"/>
          </a:solidFill>
          <a:round/>
          <a:headEnd/>
          <a:tailEnd/>
        </a:ln>
      </xdr:spPr>
    </xdr:cxnSp>
    <xdr:clientData/>
  </xdr:twoCellAnchor>
  <xdr:twoCellAnchor>
    <xdr:from>
      <xdr:col>8</xdr:col>
      <xdr:colOff>45720</xdr:colOff>
      <xdr:row>17</xdr:row>
      <xdr:rowOff>22860</xdr:rowOff>
    </xdr:from>
    <xdr:to>
      <xdr:col>8</xdr:col>
      <xdr:colOff>99060</xdr:colOff>
      <xdr:row>17</xdr:row>
      <xdr:rowOff>114300</xdr:rowOff>
    </xdr:to>
    <xdr:cxnSp macro="">
      <xdr:nvCxnSpPr>
        <xdr:cNvPr id="25993" name="Straight Connector 102"/>
        <xdr:cNvCxnSpPr>
          <a:cxnSpLocks noChangeShapeType="1"/>
        </xdr:cNvCxnSpPr>
      </xdr:nvCxnSpPr>
      <xdr:spPr bwMode="auto">
        <a:xfrm rot="5400000">
          <a:off x="6838950" y="3242310"/>
          <a:ext cx="91440" cy="53340"/>
        </a:xfrm>
        <a:prstGeom prst="line">
          <a:avLst/>
        </a:prstGeom>
        <a:noFill/>
        <a:ln w="3175" algn="ctr">
          <a:solidFill>
            <a:srgbClr val="000000"/>
          </a:solidFill>
          <a:round/>
          <a:headEnd/>
          <a:tailEnd/>
        </a:ln>
      </xdr:spPr>
    </xdr:cxnSp>
    <xdr:clientData/>
  </xdr:twoCellAnchor>
  <xdr:twoCellAnchor>
    <xdr:from>
      <xdr:col>7</xdr:col>
      <xdr:colOff>106680</xdr:colOff>
      <xdr:row>17</xdr:row>
      <xdr:rowOff>38100</xdr:rowOff>
    </xdr:from>
    <xdr:to>
      <xdr:col>7</xdr:col>
      <xdr:colOff>198120</xdr:colOff>
      <xdr:row>17</xdr:row>
      <xdr:rowOff>38100</xdr:rowOff>
    </xdr:to>
    <xdr:cxnSp macro="">
      <xdr:nvCxnSpPr>
        <xdr:cNvPr id="25994" name="Straight Connector 104"/>
        <xdr:cNvCxnSpPr>
          <a:cxnSpLocks noChangeShapeType="1"/>
        </xdr:cNvCxnSpPr>
      </xdr:nvCxnSpPr>
      <xdr:spPr bwMode="auto">
        <a:xfrm>
          <a:off x="6713220" y="3238500"/>
          <a:ext cx="91440" cy="0"/>
        </a:xfrm>
        <a:prstGeom prst="line">
          <a:avLst/>
        </a:prstGeom>
        <a:noFill/>
        <a:ln w="3175" algn="ctr">
          <a:solidFill>
            <a:srgbClr val="000000"/>
          </a:solidFill>
          <a:round/>
          <a:headEnd/>
          <a:tailEnd/>
        </a:ln>
      </xdr:spPr>
    </xdr:cxnSp>
    <xdr:clientData/>
  </xdr:twoCellAnchor>
  <xdr:twoCellAnchor>
    <xdr:from>
      <xdr:col>7</xdr:col>
      <xdr:colOff>91440</xdr:colOff>
      <xdr:row>17</xdr:row>
      <xdr:rowOff>60960</xdr:rowOff>
    </xdr:from>
    <xdr:to>
      <xdr:col>7</xdr:col>
      <xdr:colOff>182880</xdr:colOff>
      <xdr:row>17</xdr:row>
      <xdr:rowOff>60960</xdr:rowOff>
    </xdr:to>
    <xdr:cxnSp macro="">
      <xdr:nvCxnSpPr>
        <xdr:cNvPr id="25995" name="Straight Connector 107"/>
        <xdr:cNvCxnSpPr>
          <a:cxnSpLocks noChangeShapeType="1"/>
        </xdr:cNvCxnSpPr>
      </xdr:nvCxnSpPr>
      <xdr:spPr bwMode="auto">
        <a:xfrm>
          <a:off x="6697980" y="3261360"/>
          <a:ext cx="91440" cy="0"/>
        </a:xfrm>
        <a:prstGeom prst="line">
          <a:avLst/>
        </a:prstGeom>
        <a:noFill/>
        <a:ln w="3175" algn="ctr">
          <a:solidFill>
            <a:srgbClr val="000000"/>
          </a:solidFill>
          <a:round/>
          <a:headEnd/>
          <a:tailEnd/>
        </a:ln>
      </xdr:spPr>
    </xdr:cxnSp>
    <xdr:clientData/>
  </xdr:twoCellAnchor>
  <xdr:twoCellAnchor>
    <xdr:from>
      <xdr:col>7</xdr:col>
      <xdr:colOff>68580</xdr:colOff>
      <xdr:row>17</xdr:row>
      <xdr:rowOff>114300</xdr:rowOff>
    </xdr:from>
    <xdr:to>
      <xdr:col>7</xdr:col>
      <xdr:colOff>160020</xdr:colOff>
      <xdr:row>17</xdr:row>
      <xdr:rowOff>114300</xdr:rowOff>
    </xdr:to>
    <xdr:cxnSp macro="">
      <xdr:nvCxnSpPr>
        <xdr:cNvPr id="25996" name="Straight Connector 111"/>
        <xdr:cNvCxnSpPr>
          <a:cxnSpLocks noChangeShapeType="1"/>
        </xdr:cNvCxnSpPr>
      </xdr:nvCxnSpPr>
      <xdr:spPr bwMode="auto">
        <a:xfrm>
          <a:off x="6675120" y="3314700"/>
          <a:ext cx="91440" cy="0"/>
        </a:xfrm>
        <a:prstGeom prst="line">
          <a:avLst/>
        </a:prstGeom>
        <a:noFill/>
        <a:ln w="3175" algn="ctr">
          <a:solidFill>
            <a:srgbClr val="000000"/>
          </a:solidFill>
          <a:round/>
          <a:headEnd/>
          <a:tailEnd/>
        </a:ln>
      </xdr:spPr>
    </xdr:cxnSp>
    <xdr:clientData/>
  </xdr:twoCellAnchor>
  <xdr:twoCellAnchor>
    <xdr:from>
      <xdr:col>7</xdr:col>
      <xdr:colOff>76200</xdr:colOff>
      <xdr:row>17</xdr:row>
      <xdr:rowOff>91440</xdr:rowOff>
    </xdr:from>
    <xdr:to>
      <xdr:col>7</xdr:col>
      <xdr:colOff>175260</xdr:colOff>
      <xdr:row>17</xdr:row>
      <xdr:rowOff>91440</xdr:rowOff>
    </xdr:to>
    <xdr:cxnSp macro="">
      <xdr:nvCxnSpPr>
        <xdr:cNvPr id="25997" name="Straight Connector 113"/>
        <xdr:cNvCxnSpPr>
          <a:cxnSpLocks noChangeShapeType="1"/>
        </xdr:cNvCxnSpPr>
      </xdr:nvCxnSpPr>
      <xdr:spPr bwMode="auto">
        <a:xfrm>
          <a:off x="6682740" y="3291840"/>
          <a:ext cx="99060" cy="0"/>
        </a:xfrm>
        <a:prstGeom prst="line">
          <a:avLst/>
        </a:prstGeom>
        <a:noFill/>
        <a:ln w="3175" algn="ctr">
          <a:solidFill>
            <a:srgbClr val="000000"/>
          </a:solidFill>
          <a:round/>
          <a:headEnd/>
          <a:tailEnd/>
        </a:ln>
      </xdr:spPr>
    </xdr:cxnSp>
    <xdr:clientData/>
  </xdr:twoCellAnchor>
  <xdr:twoCellAnchor>
    <xdr:from>
      <xdr:col>3</xdr:col>
      <xdr:colOff>1021080</xdr:colOff>
      <xdr:row>10</xdr:row>
      <xdr:rowOff>160020</xdr:rowOff>
    </xdr:from>
    <xdr:to>
      <xdr:col>4</xdr:col>
      <xdr:colOff>571500</xdr:colOff>
      <xdr:row>11</xdr:row>
      <xdr:rowOff>60960</xdr:rowOff>
    </xdr:to>
    <xdr:cxnSp macro="">
      <xdr:nvCxnSpPr>
        <xdr:cNvPr id="25998" name="Straight Connector 210"/>
        <xdr:cNvCxnSpPr>
          <a:cxnSpLocks noChangeShapeType="1"/>
        </xdr:cNvCxnSpPr>
      </xdr:nvCxnSpPr>
      <xdr:spPr bwMode="auto">
        <a:xfrm flipV="1">
          <a:off x="4084320" y="2026920"/>
          <a:ext cx="754380" cy="91440"/>
        </a:xfrm>
        <a:prstGeom prst="line">
          <a:avLst/>
        </a:prstGeom>
        <a:noFill/>
        <a:ln w="3175" algn="ctr">
          <a:solidFill>
            <a:srgbClr val="000000"/>
          </a:solidFill>
          <a:round/>
          <a:headEnd/>
          <a:tailEnd/>
        </a:ln>
      </xdr:spPr>
    </xdr:cxnSp>
    <xdr:clientData/>
  </xdr:twoCellAnchor>
  <xdr:twoCellAnchor>
    <xdr:from>
      <xdr:col>4</xdr:col>
      <xdr:colOff>571500</xdr:colOff>
      <xdr:row>10</xdr:row>
      <xdr:rowOff>160020</xdr:rowOff>
    </xdr:from>
    <xdr:to>
      <xdr:col>5</xdr:col>
      <xdr:colOff>403860</xdr:colOff>
      <xdr:row>11</xdr:row>
      <xdr:rowOff>53340</xdr:rowOff>
    </xdr:to>
    <xdr:cxnSp macro="">
      <xdr:nvCxnSpPr>
        <xdr:cNvPr id="25999" name="Straight Connector 212"/>
        <xdr:cNvCxnSpPr>
          <a:cxnSpLocks noChangeShapeType="1"/>
        </xdr:cNvCxnSpPr>
      </xdr:nvCxnSpPr>
      <xdr:spPr bwMode="auto">
        <a:xfrm>
          <a:off x="4838700" y="2026920"/>
          <a:ext cx="662940" cy="83820"/>
        </a:xfrm>
        <a:prstGeom prst="line">
          <a:avLst/>
        </a:prstGeom>
        <a:noFill/>
        <a:ln w="3175" algn="ctr">
          <a:solidFill>
            <a:srgbClr val="000000"/>
          </a:solidFill>
          <a:round/>
          <a:headEnd/>
          <a:tailEnd/>
        </a:ln>
      </xdr:spPr>
    </xdr:cxnSp>
    <xdr:clientData/>
  </xdr:twoCellAnchor>
  <xdr:twoCellAnchor>
    <xdr:from>
      <xdr:col>3</xdr:col>
      <xdr:colOff>1013460</xdr:colOff>
      <xdr:row>9</xdr:row>
      <xdr:rowOff>152400</xdr:rowOff>
    </xdr:from>
    <xdr:to>
      <xdr:col>3</xdr:col>
      <xdr:colOff>1013460</xdr:colOff>
      <xdr:row>11</xdr:row>
      <xdr:rowOff>60960</xdr:rowOff>
    </xdr:to>
    <xdr:cxnSp macro="">
      <xdr:nvCxnSpPr>
        <xdr:cNvPr id="26000" name="Straight Connector 214"/>
        <xdr:cNvCxnSpPr>
          <a:cxnSpLocks noChangeShapeType="1"/>
        </xdr:cNvCxnSpPr>
      </xdr:nvCxnSpPr>
      <xdr:spPr bwMode="auto">
        <a:xfrm rot="5400000" flipH="1" flipV="1">
          <a:off x="3931920" y="1973580"/>
          <a:ext cx="289560" cy="0"/>
        </a:xfrm>
        <a:prstGeom prst="line">
          <a:avLst/>
        </a:prstGeom>
        <a:noFill/>
        <a:ln w="3175" algn="ctr">
          <a:solidFill>
            <a:srgbClr val="000000"/>
          </a:solidFill>
          <a:round/>
          <a:headEnd/>
          <a:tailEnd/>
        </a:ln>
      </xdr:spPr>
    </xdr:cxnSp>
    <xdr:clientData/>
  </xdr:twoCellAnchor>
  <xdr:twoCellAnchor>
    <xdr:from>
      <xdr:col>3</xdr:col>
      <xdr:colOff>982980</xdr:colOff>
      <xdr:row>9</xdr:row>
      <xdr:rowOff>152400</xdr:rowOff>
    </xdr:from>
    <xdr:to>
      <xdr:col>3</xdr:col>
      <xdr:colOff>1013460</xdr:colOff>
      <xdr:row>9</xdr:row>
      <xdr:rowOff>152400</xdr:rowOff>
    </xdr:to>
    <xdr:cxnSp macro="">
      <xdr:nvCxnSpPr>
        <xdr:cNvPr id="26001" name="Straight Connector 216"/>
        <xdr:cNvCxnSpPr>
          <a:cxnSpLocks noChangeShapeType="1"/>
        </xdr:cNvCxnSpPr>
      </xdr:nvCxnSpPr>
      <xdr:spPr bwMode="auto">
        <a:xfrm rot="10800000">
          <a:off x="4046220" y="1828800"/>
          <a:ext cx="30480" cy="0"/>
        </a:xfrm>
        <a:prstGeom prst="line">
          <a:avLst/>
        </a:prstGeom>
        <a:noFill/>
        <a:ln w="3175" algn="ctr">
          <a:solidFill>
            <a:srgbClr val="000000"/>
          </a:solidFill>
          <a:round/>
          <a:headEnd/>
          <a:tailEnd/>
        </a:ln>
      </xdr:spPr>
    </xdr:cxnSp>
    <xdr:clientData/>
  </xdr:twoCellAnchor>
  <xdr:twoCellAnchor>
    <xdr:from>
      <xdr:col>3</xdr:col>
      <xdr:colOff>982980</xdr:colOff>
      <xdr:row>9</xdr:row>
      <xdr:rowOff>152400</xdr:rowOff>
    </xdr:from>
    <xdr:to>
      <xdr:col>3</xdr:col>
      <xdr:colOff>982980</xdr:colOff>
      <xdr:row>11</xdr:row>
      <xdr:rowOff>53340</xdr:rowOff>
    </xdr:to>
    <xdr:cxnSp macro="">
      <xdr:nvCxnSpPr>
        <xdr:cNvPr id="26002" name="Straight Connector 218"/>
        <xdr:cNvCxnSpPr>
          <a:cxnSpLocks noChangeShapeType="1"/>
        </xdr:cNvCxnSpPr>
      </xdr:nvCxnSpPr>
      <xdr:spPr bwMode="auto">
        <a:xfrm rot="5400000">
          <a:off x="3905250" y="1969770"/>
          <a:ext cx="281940" cy="0"/>
        </a:xfrm>
        <a:prstGeom prst="line">
          <a:avLst/>
        </a:prstGeom>
        <a:noFill/>
        <a:ln w="3175" algn="ctr">
          <a:solidFill>
            <a:srgbClr val="000000"/>
          </a:solidFill>
          <a:round/>
          <a:headEnd/>
          <a:tailEnd/>
        </a:ln>
      </xdr:spPr>
    </xdr:cxnSp>
    <xdr:clientData/>
  </xdr:twoCellAnchor>
  <xdr:twoCellAnchor>
    <xdr:from>
      <xdr:col>3</xdr:col>
      <xdr:colOff>1013460</xdr:colOff>
      <xdr:row>9</xdr:row>
      <xdr:rowOff>152400</xdr:rowOff>
    </xdr:from>
    <xdr:to>
      <xdr:col>3</xdr:col>
      <xdr:colOff>1059180</xdr:colOff>
      <xdr:row>10</xdr:row>
      <xdr:rowOff>91440</xdr:rowOff>
    </xdr:to>
    <xdr:sp macro="" textlink="">
      <xdr:nvSpPr>
        <xdr:cNvPr id="26003" name="Freeform 220"/>
        <xdr:cNvSpPr>
          <a:spLocks/>
        </xdr:cNvSpPr>
      </xdr:nvSpPr>
      <xdr:spPr bwMode="auto">
        <a:xfrm>
          <a:off x="4076700" y="1828800"/>
          <a:ext cx="45720" cy="129540"/>
        </a:xfrm>
        <a:custGeom>
          <a:avLst/>
          <a:gdLst>
            <a:gd name="T0" fmla="*/ 0 w 47942"/>
            <a:gd name="T1" fmla="*/ 0 h 135255"/>
            <a:gd name="T2" fmla="*/ 0 w 47942"/>
            <a:gd name="T3" fmla="*/ 18881 h 135255"/>
            <a:gd name="T4" fmla="*/ 0 w 47942"/>
            <a:gd name="T5" fmla="*/ 41095 h 135255"/>
            <a:gd name="T6" fmla="*/ 0 w 47942"/>
            <a:gd name="T7" fmla="*/ 54422 h 135255"/>
            <a:gd name="T8" fmla="*/ 0 w 47942"/>
            <a:gd name="T9" fmla="*/ 78856 h 135255"/>
            <a:gd name="T10" fmla="*/ 0 w 47942"/>
            <a:gd name="T11" fmla="*/ 78856 h 135255"/>
            <a:gd name="T12" fmla="*/ 0 w 47942"/>
            <a:gd name="T13" fmla="*/ 78856 h 135255"/>
            <a:gd name="T14" fmla="*/ 0 w 47942"/>
            <a:gd name="T15" fmla="*/ 78856 h 135255"/>
            <a:gd name="T16" fmla="*/ 0 60000 65536"/>
            <a:gd name="T17" fmla="*/ 0 60000 65536"/>
            <a:gd name="T18" fmla="*/ 0 60000 65536"/>
            <a:gd name="T19" fmla="*/ 0 60000 65536"/>
            <a:gd name="T20" fmla="*/ 0 60000 65536"/>
            <a:gd name="T21" fmla="*/ 0 60000 65536"/>
            <a:gd name="T22" fmla="*/ 0 60000 65536"/>
            <a:gd name="T23" fmla="*/ 0 60000 65536"/>
            <a:gd name="T24" fmla="*/ 0 w 47942"/>
            <a:gd name="T25" fmla="*/ 0 h 135255"/>
            <a:gd name="T26" fmla="*/ 0 w 47942"/>
            <a:gd name="T27" fmla="*/ 135255 h 13525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7942" h="135255">
              <a:moveTo>
                <a:pt x="0" y="0"/>
              </a:moveTo>
              <a:cubicBezTo>
                <a:pt x="23654" y="10319"/>
                <a:pt x="47308" y="20638"/>
                <a:pt x="47625" y="32385"/>
              </a:cubicBezTo>
              <a:cubicBezTo>
                <a:pt x="47942" y="44132"/>
                <a:pt x="2223" y="60325"/>
                <a:pt x="1905" y="70485"/>
              </a:cubicBezTo>
              <a:cubicBezTo>
                <a:pt x="1587" y="80645"/>
                <a:pt x="45403" y="82550"/>
                <a:pt x="45720" y="93345"/>
              </a:cubicBezTo>
              <a:cubicBezTo>
                <a:pt x="46038" y="104140"/>
                <a:pt x="3810" y="135255"/>
                <a:pt x="3810" y="135255"/>
              </a:cubicBezTo>
            </a:path>
          </a:pathLst>
        </a:custGeom>
        <a:solidFill>
          <a:srgbClr val="FFFFFF"/>
        </a:solidFill>
        <a:ln w="3175" cap="flat" cmpd="sng" algn="ctr">
          <a:solidFill>
            <a:srgbClr val="000000"/>
          </a:solidFill>
          <a:prstDash val="solid"/>
          <a:round/>
          <a:headEnd type="none" w="med" len="med"/>
          <a:tailEnd type="none" w="med" len="med"/>
        </a:ln>
      </xdr:spPr>
    </xdr:sp>
    <xdr:clientData/>
  </xdr:twoCellAnchor>
  <xdr:twoCellAnchor>
    <xdr:from>
      <xdr:col>5</xdr:col>
      <xdr:colOff>411480</xdr:colOff>
      <xdr:row>9</xdr:row>
      <xdr:rowOff>144780</xdr:rowOff>
    </xdr:from>
    <xdr:to>
      <xdr:col>5</xdr:col>
      <xdr:colOff>441960</xdr:colOff>
      <xdr:row>9</xdr:row>
      <xdr:rowOff>144780</xdr:rowOff>
    </xdr:to>
    <xdr:cxnSp macro="">
      <xdr:nvCxnSpPr>
        <xdr:cNvPr id="26004" name="Straight Connector 231"/>
        <xdr:cNvCxnSpPr>
          <a:cxnSpLocks noChangeShapeType="1"/>
        </xdr:cNvCxnSpPr>
      </xdr:nvCxnSpPr>
      <xdr:spPr bwMode="auto">
        <a:xfrm>
          <a:off x="5509260" y="1821180"/>
          <a:ext cx="30480" cy="0"/>
        </a:xfrm>
        <a:prstGeom prst="line">
          <a:avLst/>
        </a:prstGeom>
        <a:noFill/>
        <a:ln w="3175" algn="ctr">
          <a:solidFill>
            <a:srgbClr val="000000"/>
          </a:solidFill>
          <a:round/>
          <a:headEnd/>
          <a:tailEnd/>
        </a:ln>
      </xdr:spPr>
    </xdr:cxnSp>
    <xdr:clientData/>
  </xdr:twoCellAnchor>
  <xdr:twoCellAnchor>
    <xdr:from>
      <xdr:col>5</xdr:col>
      <xdr:colOff>449580</xdr:colOff>
      <xdr:row>9</xdr:row>
      <xdr:rowOff>152400</xdr:rowOff>
    </xdr:from>
    <xdr:to>
      <xdr:col>5</xdr:col>
      <xdr:colOff>449580</xdr:colOff>
      <xdr:row>11</xdr:row>
      <xdr:rowOff>53340</xdr:rowOff>
    </xdr:to>
    <xdr:cxnSp macro="">
      <xdr:nvCxnSpPr>
        <xdr:cNvPr id="26005" name="Straight Connector 233"/>
        <xdr:cNvCxnSpPr>
          <a:cxnSpLocks noChangeShapeType="1"/>
        </xdr:cNvCxnSpPr>
      </xdr:nvCxnSpPr>
      <xdr:spPr bwMode="auto">
        <a:xfrm rot="5400000">
          <a:off x="5406390" y="1969770"/>
          <a:ext cx="281940" cy="0"/>
        </a:xfrm>
        <a:prstGeom prst="line">
          <a:avLst/>
        </a:prstGeom>
        <a:noFill/>
        <a:ln w="3175" algn="ctr">
          <a:solidFill>
            <a:srgbClr val="000000"/>
          </a:solidFill>
          <a:round/>
          <a:headEnd/>
          <a:tailEnd/>
        </a:ln>
      </xdr:spPr>
    </xdr:cxnSp>
    <xdr:clientData/>
  </xdr:twoCellAnchor>
  <xdr:twoCellAnchor>
    <xdr:from>
      <xdr:col>5</xdr:col>
      <xdr:colOff>358140</xdr:colOff>
      <xdr:row>9</xdr:row>
      <xdr:rowOff>144780</xdr:rowOff>
    </xdr:from>
    <xdr:to>
      <xdr:col>5</xdr:col>
      <xdr:colOff>411480</xdr:colOff>
      <xdr:row>10</xdr:row>
      <xdr:rowOff>114300</xdr:rowOff>
    </xdr:to>
    <xdr:sp macro="" textlink="">
      <xdr:nvSpPr>
        <xdr:cNvPr id="26006" name="Freeform 234"/>
        <xdr:cNvSpPr>
          <a:spLocks/>
        </xdr:cNvSpPr>
      </xdr:nvSpPr>
      <xdr:spPr bwMode="auto">
        <a:xfrm>
          <a:off x="5455920" y="1821180"/>
          <a:ext cx="53340" cy="160020"/>
        </a:xfrm>
        <a:custGeom>
          <a:avLst/>
          <a:gdLst>
            <a:gd name="T0" fmla="*/ 37507 w 55245"/>
            <a:gd name="T1" fmla="*/ 0 h 152400"/>
            <a:gd name="T2" fmla="*/ 0 w 55245"/>
            <a:gd name="T3" fmla="*/ 49456 h 152400"/>
            <a:gd name="T4" fmla="*/ 37507 w 55245"/>
            <a:gd name="T5" fmla="*/ 103857 h 152400"/>
            <a:gd name="T6" fmla="*/ 1340 w 55245"/>
            <a:gd name="T7" fmla="*/ 138476 h 152400"/>
            <a:gd name="T8" fmla="*/ 38847 w 55245"/>
            <a:gd name="T9" fmla="*/ 197823 h 152400"/>
            <a:gd name="T10" fmla="*/ 38847 w 55245"/>
            <a:gd name="T11" fmla="*/ 197823 h 152400"/>
            <a:gd name="T12" fmla="*/ 0 60000 65536"/>
            <a:gd name="T13" fmla="*/ 0 60000 65536"/>
            <a:gd name="T14" fmla="*/ 0 60000 65536"/>
            <a:gd name="T15" fmla="*/ 0 60000 65536"/>
            <a:gd name="T16" fmla="*/ 0 60000 65536"/>
            <a:gd name="T17" fmla="*/ 0 60000 65536"/>
            <a:gd name="T18" fmla="*/ 0 w 55245"/>
            <a:gd name="T19" fmla="*/ 0 h 152400"/>
            <a:gd name="T20" fmla="*/ 55245 w 55245"/>
            <a:gd name="T21" fmla="*/ 152400 h 152400"/>
          </a:gdLst>
          <a:ahLst/>
          <a:cxnLst>
            <a:cxn ang="T12">
              <a:pos x="T0" y="T1"/>
            </a:cxn>
            <a:cxn ang="T13">
              <a:pos x="T2" y="T3"/>
            </a:cxn>
            <a:cxn ang="T14">
              <a:pos x="T4" y="T5"/>
            </a:cxn>
            <a:cxn ang="T15">
              <a:pos x="T6" y="T7"/>
            </a:cxn>
            <a:cxn ang="T16">
              <a:pos x="T8" y="T9"/>
            </a:cxn>
            <a:cxn ang="T17">
              <a:pos x="T10" y="T11"/>
            </a:cxn>
          </a:cxnLst>
          <a:rect l="T18" t="T19" r="T20" b="T21"/>
          <a:pathLst>
            <a:path w="55245" h="152400">
              <a:moveTo>
                <a:pt x="53340" y="0"/>
              </a:moveTo>
              <a:cubicBezTo>
                <a:pt x="26670" y="12382"/>
                <a:pt x="0" y="24765"/>
                <a:pt x="0" y="38100"/>
              </a:cubicBezTo>
              <a:cubicBezTo>
                <a:pt x="0" y="51435"/>
                <a:pt x="53023" y="68580"/>
                <a:pt x="53340" y="80010"/>
              </a:cubicBezTo>
              <a:cubicBezTo>
                <a:pt x="53658" y="91440"/>
                <a:pt x="1588" y="94615"/>
                <a:pt x="1905" y="106680"/>
              </a:cubicBezTo>
              <a:cubicBezTo>
                <a:pt x="2222" y="118745"/>
                <a:pt x="55245" y="152400"/>
                <a:pt x="55245" y="152400"/>
              </a:cubicBezTo>
            </a:path>
          </a:pathLst>
        </a:custGeom>
        <a:solidFill>
          <a:srgbClr val="FFFFFF"/>
        </a:solidFill>
        <a:ln w="3175" cap="flat" cmpd="sng" algn="ctr">
          <a:solidFill>
            <a:srgbClr val="000000"/>
          </a:solidFill>
          <a:prstDash val="solid"/>
          <a:round/>
          <a:headEnd type="none" w="med" len="med"/>
          <a:tailEnd type="none" w="med" len="med"/>
        </a:ln>
      </xdr:spPr>
    </xdr:sp>
    <xdr:clientData/>
  </xdr:twoCellAnchor>
  <xdr:twoCellAnchor>
    <xdr:from>
      <xdr:col>3</xdr:col>
      <xdr:colOff>182880</xdr:colOff>
      <xdr:row>14</xdr:row>
      <xdr:rowOff>129540</xdr:rowOff>
    </xdr:from>
    <xdr:to>
      <xdr:col>6</xdr:col>
      <xdr:colOff>449580</xdr:colOff>
      <xdr:row>14</xdr:row>
      <xdr:rowOff>175260</xdr:rowOff>
    </xdr:to>
    <xdr:sp macro="" textlink="">
      <xdr:nvSpPr>
        <xdr:cNvPr id="26007" name="Freeform 326"/>
        <xdr:cNvSpPr>
          <a:spLocks/>
        </xdr:cNvSpPr>
      </xdr:nvSpPr>
      <xdr:spPr bwMode="auto">
        <a:xfrm>
          <a:off x="3246120" y="2758440"/>
          <a:ext cx="3078480" cy="45720"/>
        </a:xfrm>
        <a:custGeom>
          <a:avLst/>
          <a:gdLst>
            <a:gd name="T0" fmla="*/ 0 w 2980508"/>
            <a:gd name="T1" fmla="*/ 24722 h 48260"/>
            <a:gd name="T2" fmla="*/ 53895 w 2980508"/>
            <a:gd name="T3" fmla="*/ 1177 h 48260"/>
            <a:gd name="T4" fmla="*/ 106103 w 2980508"/>
            <a:gd name="T5" fmla="*/ 23544 h 48260"/>
            <a:gd name="T6" fmla="*/ 161683 w 2980508"/>
            <a:gd name="T7" fmla="*/ 2354 h 48260"/>
            <a:gd name="T8" fmla="*/ 205469 w 2980508"/>
            <a:gd name="T9" fmla="*/ 24722 h 48260"/>
            <a:gd name="T10" fmla="*/ 255995 w 2980508"/>
            <a:gd name="T11" fmla="*/ 2354 h 48260"/>
            <a:gd name="T12" fmla="*/ 299785 w 2980508"/>
            <a:gd name="T13" fmla="*/ 24722 h 48260"/>
            <a:gd name="T14" fmla="*/ 348625 w 2980508"/>
            <a:gd name="T15" fmla="*/ 1177 h 48260"/>
            <a:gd name="T16" fmla="*/ 392413 w 2980508"/>
            <a:gd name="T17" fmla="*/ 24722 h 48260"/>
            <a:gd name="T18" fmla="*/ 439571 w 2980508"/>
            <a:gd name="T19" fmla="*/ 1177 h 48260"/>
            <a:gd name="T20" fmla="*/ 483359 w 2980508"/>
            <a:gd name="T21" fmla="*/ 22366 h 48260"/>
            <a:gd name="T22" fmla="*/ 532200 w 2980508"/>
            <a:gd name="T23" fmla="*/ 2354 h 48260"/>
            <a:gd name="T24" fmla="*/ 577673 w 2980508"/>
            <a:gd name="T25" fmla="*/ 25898 h 48260"/>
            <a:gd name="T26" fmla="*/ 629883 w 2980508"/>
            <a:gd name="T27" fmla="*/ 2354 h 48260"/>
            <a:gd name="T28" fmla="*/ 675355 w 2980508"/>
            <a:gd name="T29" fmla="*/ 24722 h 48260"/>
            <a:gd name="T30" fmla="*/ 720828 w 2980508"/>
            <a:gd name="T31" fmla="*/ 3531 h 48260"/>
            <a:gd name="T32" fmla="*/ 771353 w 2980508"/>
            <a:gd name="T33" fmla="*/ 23544 h 48260"/>
            <a:gd name="T34" fmla="*/ 816827 w 2980508"/>
            <a:gd name="T35" fmla="*/ 1177 h 48260"/>
            <a:gd name="T36" fmla="*/ 869037 w 2980508"/>
            <a:gd name="T37" fmla="*/ 24722 h 48260"/>
            <a:gd name="T38" fmla="*/ 924615 w 2980508"/>
            <a:gd name="T39" fmla="*/ 1177 h 48260"/>
            <a:gd name="T40" fmla="*/ 976824 w 2980508"/>
            <a:gd name="T41" fmla="*/ 24722 h 48260"/>
            <a:gd name="T42" fmla="*/ 1030717 w 2980508"/>
            <a:gd name="T43" fmla="*/ 3531 h 48260"/>
            <a:gd name="T44" fmla="*/ 1089663 w 2980508"/>
            <a:gd name="T45" fmla="*/ 25898 h 48260"/>
            <a:gd name="T46" fmla="*/ 1136821 w 2980508"/>
            <a:gd name="T47" fmla="*/ 2354 h 48260"/>
            <a:gd name="T48" fmla="*/ 1187346 w 2980508"/>
            <a:gd name="T49" fmla="*/ 24722 h 48260"/>
            <a:gd name="T50" fmla="*/ 1241239 w 2980508"/>
            <a:gd name="T51" fmla="*/ 2354 h 48260"/>
            <a:gd name="T52" fmla="*/ 1293451 w 2980508"/>
            <a:gd name="T53" fmla="*/ 23544 h 48260"/>
            <a:gd name="T54" fmla="*/ 1349027 w 2980508"/>
            <a:gd name="T55" fmla="*/ 1177 h 48260"/>
            <a:gd name="T56" fmla="*/ 1399553 w 2980508"/>
            <a:gd name="T57" fmla="*/ 23544 h 48260"/>
            <a:gd name="T58" fmla="*/ 1450077 w 2980508"/>
            <a:gd name="T59" fmla="*/ 1177 h 48260"/>
            <a:gd name="T60" fmla="*/ 1509023 w 2980508"/>
            <a:gd name="T61" fmla="*/ 24722 h 48260"/>
            <a:gd name="T62" fmla="*/ 1559549 w 2980508"/>
            <a:gd name="T63" fmla="*/ 2354 h 48260"/>
            <a:gd name="T64" fmla="*/ 1616811 w 2980508"/>
            <a:gd name="T65" fmla="*/ 25898 h 48260"/>
            <a:gd name="T66" fmla="*/ 1665652 w 2980508"/>
            <a:gd name="T67" fmla="*/ 1177 h 48260"/>
            <a:gd name="T68" fmla="*/ 1721230 w 2980508"/>
            <a:gd name="T69" fmla="*/ 25898 h 48260"/>
            <a:gd name="T70" fmla="*/ 1766700 w 2980508"/>
            <a:gd name="T71" fmla="*/ 2354 h 48260"/>
            <a:gd name="T72" fmla="*/ 1817226 w 2980508"/>
            <a:gd name="T73" fmla="*/ 24722 h 48260"/>
            <a:gd name="T74" fmla="*/ 1866069 w 2980508"/>
            <a:gd name="T75" fmla="*/ 1177 h 48260"/>
            <a:gd name="T76" fmla="*/ 1911540 w 2980508"/>
            <a:gd name="T77" fmla="*/ 24722 h 48260"/>
            <a:gd name="T78" fmla="*/ 1960383 w 2980508"/>
            <a:gd name="T79" fmla="*/ 3531 h 48260"/>
            <a:gd name="T80" fmla="*/ 2024381 w 2980508"/>
            <a:gd name="T81" fmla="*/ 24722 h 48260"/>
            <a:gd name="T82" fmla="*/ 2081643 w 2980508"/>
            <a:gd name="T83" fmla="*/ 1177 h 48260"/>
            <a:gd name="T84" fmla="*/ 2142275 w 2980508"/>
            <a:gd name="T85" fmla="*/ 23544 h 48260"/>
            <a:gd name="T86" fmla="*/ 2201220 w 2980508"/>
            <a:gd name="T87" fmla="*/ 2354 h 48260"/>
            <a:gd name="T88" fmla="*/ 2256796 w 2980508"/>
            <a:gd name="T89" fmla="*/ 22366 h 48260"/>
            <a:gd name="T90" fmla="*/ 2305639 w 2980508"/>
            <a:gd name="T91" fmla="*/ 0 h 48260"/>
            <a:gd name="T92" fmla="*/ 2305639 w 2980508"/>
            <a:gd name="T93" fmla="*/ 0 h 48260"/>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2980508"/>
            <a:gd name="T142" fmla="*/ 0 h 48260"/>
            <a:gd name="T143" fmla="*/ 2980508 w 2980508"/>
            <a:gd name="T144" fmla="*/ 48260 h 48260"/>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2980508" h="48260">
              <a:moveTo>
                <a:pt x="0" y="45720"/>
              </a:moveTo>
              <a:cubicBezTo>
                <a:pt x="23404" y="24130"/>
                <a:pt x="46808" y="2540"/>
                <a:pt x="69668" y="2177"/>
              </a:cubicBezTo>
              <a:cubicBezTo>
                <a:pt x="92528" y="1814"/>
                <a:pt x="113937" y="43180"/>
                <a:pt x="137160" y="43543"/>
              </a:cubicBezTo>
              <a:cubicBezTo>
                <a:pt x="160383" y="43906"/>
                <a:pt x="187598" y="3992"/>
                <a:pt x="209006" y="4355"/>
              </a:cubicBezTo>
              <a:cubicBezTo>
                <a:pt x="230414" y="4718"/>
                <a:pt x="245291" y="45720"/>
                <a:pt x="265611" y="45720"/>
              </a:cubicBezTo>
              <a:cubicBezTo>
                <a:pt x="285931" y="45720"/>
                <a:pt x="310606" y="4355"/>
                <a:pt x="330926" y="4355"/>
              </a:cubicBezTo>
              <a:cubicBezTo>
                <a:pt x="351246" y="4355"/>
                <a:pt x="367574" y="46083"/>
                <a:pt x="387531" y="45720"/>
              </a:cubicBezTo>
              <a:cubicBezTo>
                <a:pt x="407488" y="45357"/>
                <a:pt x="430711" y="2177"/>
                <a:pt x="450668" y="2177"/>
              </a:cubicBezTo>
              <a:cubicBezTo>
                <a:pt x="470625" y="2177"/>
                <a:pt x="487680" y="45720"/>
                <a:pt x="507274" y="45720"/>
              </a:cubicBezTo>
              <a:cubicBezTo>
                <a:pt x="526868" y="45720"/>
                <a:pt x="548640" y="2903"/>
                <a:pt x="568234" y="2177"/>
              </a:cubicBezTo>
              <a:cubicBezTo>
                <a:pt x="587828" y="1451"/>
                <a:pt x="604883" y="41003"/>
                <a:pt x="624840" y="41366"/>
              </a:cubicBezTo>
              <a:cubicBezTo>
                <a:pt x="644797" y="41729"/>
                <a:pt x="667657" y="3267"/>
                <a:pt x="687977" y="4355"/>
              </a:cubicBezTo>
              <a:cubicBezTo>
                <a:pt x="708297" y="5443"/>
                <a:pt x="725714" y="47897"/>
                <a:pt x="746760" y="47897"/>
              </a:cubicBezTo>
              <a:cubicBezTo>
                <a:pt x="767806" y="47897"/>
                <a:pt x="793205" y="4718"/>
                <a:pt x="814251" y="4355"/>
              </a:cubicBezTo>
              <a:cubicBezTo>
                <a:pt x="835297" y="3992"/>
                <a:pt x="853440" y="45357"/>
                <a:pt x="873034" y="45720"/>
              </a:cubicBezTo>
              <a:cubicBezTo>
                <a:pt x="892628" y="46083"/>
                <a:pt x="911134" y="6895"/>
                <a:pt x="931817" y="6532"/>
              </a:cubicBezTo>
              <a:cubicBezTo>
                <a:pt x="952500" y="6169"/>
                <a:pt x="976448" y="44269"/>
                <a:pt x="997131" y="43543"/>
              </a:cubicBezTo>
              <a:cubicBezTo>
                <a:pt x="1017814" y="42817"/>
                <a:pt x="1034868" y="1814"/>
                <a:pt x="1055914" y="2177"/>
              </a:cubicBezTo>
              <a:cubicBezTo>
                <a:pt x="1076960" y="2540"/>
                <a:pt x="1100183" y="45720"/>
                <a:pt x="1123406" y="45720"/>
              </a:cubicBezTo>
              <a:cubicBezTo>
                <a:pt x="1146629" y="45720"/>
                <a:pt x="1172028" y="2177"/>
                <a:pt x="1195251" y="2177"/>
              </a:cubicBezTo>
              <a:cubicBezTo>
                <a:pt x="1218474" y="2177"/>
                <a:pt x="1239883" y="44994"/>
                <a:pt x="1262743" y="45720"/>
              </a:cubicBezTo>
              <a:cubicBezTo>
                <a:pt x="1285603" y="46446"/>
                <a:pt x="1308100" y="6169"/>
                <a:pt x="1332411" y="6532"/>
              </a:cubicBezTo>
              <a:cubicBezTo>
                <a:pt x="1356722" y="6895"/>
                <a:pt x="1385751" y="48260"/>
                <a:pt x="1408611" y="47897"/>
              </a:cubicBezTo>
              <a:cubicBezTo>
                <a:pt x="1431471" y="47534"/>
                <a:pt x="1448525" y="4718"/>
                <a:pt x="1469571" y="4355"/>
              </a:cubicBezTo>
              <a:cubicBezTo>
                <a:pt x="1490617" y="3992"/>
                <a:pt x="1512389" y="45720"/>
                <a:pt x="1534886" y="45720"/>
              </a:cubicBezTo>
              <a:cubicBezTo>
                <a:pt x="1557383" y="45720"/>
                <a:pt x="1581694" y="4718"/>
                <a:pt x="1604554" y="4355"/>
              </a:cubicBezTo>
              <a:cubicBezTo>
                <a:pt x="1627414" y="3992"/>
                <a:pt x="1648823" y="43906"/>
                <a:pt x="1672046" y="43543"/>
              </a:cubicBezTo>
              <a:cubicBezTo>
                <a:pt x="1695269" y="43180"/>
                <a:pt x="1721031" y="2177"/>
                <a:pt x="1743891" y="2177"/>
              </a:cubicBezTo>
              <a:cubicBezTo>
                <a:pt x="1766751" y="2177"/>
                <a:pt x="1787435" y="43543"/>
                <a:pt x="1809206" y="43543"/>
              </a:cubicBezTo>
              <a:cubicBezTo>
                <a:pt x="1830977" y="43543"/>
                <a:pt x="1850934" y="1814"/>
                <a:pt x="1874520" y="2177"/>
              </a:cubicBezTo>
              <a:cubicBezTo>
                <a:pt x="1898106" y="2540"/>
                <a:pt x="1927134" y="45357"/>
                <a:pt x="1950720" y="45720"/>
              </a:cubicBezTo>
              <a:cubicBezTo>
                <a:pt x="1974306" y="46083"/>
                <a:pt x="1992811" y="3992"/>
                <a:pt x="2016034" y="4355"/>
              </a:cubicBezTo>
              <a:cubicBezTo>
                <a:pt x="2039257" y="4718"/>
                <a:pt x="2067197" y="48260"/>
                <a:pt x="2090057" y="47897"/>
              </a:cubicBezTo>
              <a:cubicBezTo>
                <a:pt x="2112917" y="47534"/>
                <a:pt x="2130697" y="2177"/>
                <a:pt x="2153194" y="2177"/>
              </a:cubicBezTo>
              <a:cubicBezTo>
                <a:pt x="2175691" y="2177"/>
                <a:pt x="2203269" y="47534"/>
                <a:pt x="2225040" y="47897"/>
              </a:cubicBezTo>
              <a:cubicBezTo>
                <a:pt x="2246811" y="48260"/>
                <a:pt x="2263140" y="4718"/>
                <a:pt x="2283823" y="4355"/>
              </a:cubicBezTo>
              <a:cubicBezTo>
                <a:pt x="2304506" y="3992"/>
                <a:pt x="2327729" y="46083"/>
                <a:pt x="2349137" y="45720"/>
              </a:cubicBezTo>
              <a:cubicBezTo>
                <a:pt x="2370545" y="45357"/>
                <a:pt x="2391954" y="2177"/>
                <a:pt x="2412274" y="2177"/>
              </a:cubicBezTo>
              <a:cubicBezTo>
                <a:pt x="2432594" y="2177"/>
                <a:pt x="2450737" y="44994"/>
                <a:pt x="2471057" y="45720"/>
              </a:cubicBezTo>
              <a:cubicBezTo>
                <a:pt x="2491377" y="46446"/>
                <a:pt x="2509883" y="6532"/>
                <a:pt x="2534194" y="6532"/>
              </a:cubicBezTo>
              <a:cubicBezTo>
                <a:pt x="2558505" y="6532"/>
                <a:pt x="2590800" y="46446"/>
                <a:pt x="2616926" y="45720"/>
              </a:cubicBezTo>
              <a:cubicBezTo>
                <a:pt x="2643052" y="44994"/>
                <a:pt x="2665548" y="2540"/>
                <a:pt x="2690948" y="2177"/>
              </a:cubicBezTo>
              <a:cubicBezTo>
                <a:pt x="2716348" y="1814"/>
                <a:pt x="2743563" y="43180"/>
                <a:pt x="2769326" y="43543"/>
              </a:cubicBezTo>
              <a:cubicBezTo>
                <a:pt x="2795089" y="43906"/>
                <a:pt x="2820852" y="4718"/>
                <a:pt x="2845526" y="4355"/>
              </a:cubicBezTo>
              <a:cubicBezTo>
                <a:pt x="2870200" y="3992"/>
                <a:pt x="2894874" y="42092"/>
                <a:pt x="2917371" y="41366"/>
              </a:cubicBezTo>
              <a:cubicBezTo>
                <a:pt x="2939868" y="40640"/>
                <a:pt x="2980508" y="0"/>
                <a:pt x="2980508" y="0"/>
              </a:cubicBezTo>
            </a:path>
          </a:pathLst>
        </a:custGeom>
        <a:solidFill>
          <a:srgbClr val="FFFFFF"/>
        </a:solidFill>
        <a:ln w="9525" cap="flat" cmpd="sng" algn="ctr">
          <a:solidFill>
            <a:srgbClr val="000000"/>
          </a:solidFill>
          <a:prstDash val="solid"/>
          <a:round/>
          <a:headEnd type="none" w="med" len="med"/>
          <a:tailEnd type="none" w="med" len="med"/>
        </a:ln>
      </xdr:spPr>
    </xdr:sp>
    <xdr:clientData/>
  </xdr:twoCellAnchor>
  <xdr:twoCellAnchor>
    <xdr:from>
      <xdr:col>3</xdr:col>
      <xdr:colOff>182880</xdr:colOff>
      <xdr:row>17</xdr:row>
      <xdr:rowOff>15240</xdr:rowOff>
    </xdr:from>
    <xdr:to>
      <xdr:col>6</xdr:col>
      <xdr:colOff>449580</xdr:colOff>
      <xdr:row>17</xdr:row>
      <xdr:rowOff>60960</xdr:rowOff>
    </xdr:to>
    <xdr:sp macro="" textlink="">
      <xdr:nvSpPr>
        <xdr:cNvPr id="26008" name="Freeform 328"/>
        <xdr:cNvSpPr>
          <a:spLocks/>
        </xdr:cNvSpPr>
      </xdr:nvSpPr>
      <xdr:spPr bwMode="auto">
        <a:xfrm>
          <a:off x="3246120" y="3215640"/>
          <a:ext cx="3078480" cy="45720"/>
        </a:xfrm>
        <a:custGeom>
          <a:avLst/>
          <a:gdLst>
            <a:gd name="T0" fmla="*/ 0 w 2980508"/>
            <a:gd name="T1" fmla="*/ 29666 h 48260"/>
            <a:gd name="T2" fmla="*/ 53895 w 2980508"/>
            <a:gd name="T3" fmla="*/ 1413 h 48260"/>
            <a:gd name="T4" fmla="*/ 106103 w 2980508"/>
            <a:gd name="T5" fmla="*/ 28252 h 48260"/>
            <a:gd name="T6" fmla="*/ 161683 w 2980508"/>
            <a:gd name="T7" fmla="*/ 2825 h 48260"/>
            <a:gd name="T8" fmla="*/ 205469 w 2980508"/>
            <a:gd name="T9" fmla="*/ 29666 h 48260"/>
            <a:gd name="T10" fmla="*/ 255995 w 2980508"/>
            <a:gd name="T11" fmla="*/ 2825 h 48260"/>
            <a:gd name="T12" fmla="*/ 299785 w 2980508"/>
            <a:gd name="T13" fmla="*/ 29666 h 48260"/>
            <a:gd name="T14" fmla="*/ 348625 w 2980508"/>
            <a:gd name="T15" fmla="*/ 1413 h 48260"/>
            <a:gd name="T16" fmla="*/ 392413 w 2980508"/>
            <a:gd name="T17" fmla="*/ 29666 h 48260"/>
            <a:gd name="T18" fmla="*/ 439571 w 2980508"/>
            <a:gd name="T19" fmla="*/ 1413 h 48260"/>
            <a:gd name="T20" fmla="*/ 483359 w 2980508"/>
            <a:gd name="T21" fmla="*/ 26841 h 48260"/>
            <a:gd name="T22" fmla="*/ 532200 w 2980508"/>
            <a:gd name="T23" fmla="*/ 2825 h 48260"/>
            <a:gd name="T24" fmla="*/ 577673 w 2980508"/>
            <a:gd name="T25" fmla="*/ 31078 h 48260"/>
            <a:gd name="T26" fmla="*/ 629883 w 2980508"/>
            <a:gd name="T27" fmla="*/ 2825 h 48260"/>
            <a:gd name="T28" fmla="*/ 675355 w 2980508"/>
            <a:gd name="T29" fmla="*/ 29666 h 48260"/>
            <a:gd name="T30" fmla="*/ 720828 w 2980508"/>
            <a:gd name="T31" fmla="*/ 4238 h 48260"/>
            <a:gd name="T32" fmla="*/ 771353 w 2980508"/>
            <a:gd name="T33" fmla="*/ 28252 h 48260"/>
            <a:gd name="T34" fmla="*/ 816827 w 2980508"/>
            <a:gd name="T35" fmla="*/ 1413 h 48260"/>
            <a:gd name="T36" fmla="*/ 869037 w 2980508"/>
            <a:gd name="T37" fmla="*/ 29666 h 48260"/>
            <a:gd name="T38" fmla="*/ 924615 w 2980508"/>
            <a:gd name="T39" fmla="*/ 1413 h 48260"/>
            <a:gd name="T40" fmla="*/ 976824 w 2980508"/>
            <a:gd name="T41" fmla="*/ 29666 h 48260"/>
            <a:gd name="T42" fmla="*/ 1030717 w 2980508"/>
            <a:gd name="T43" fmla="*/ 4238 h 48260"/>
            <a:gd name="T44" fmla="*/ 1089663 w 2980508"/>
            <a:gd name="T45" fmla="*/ 31078 h 48260"/>
            <a:gd name="T46" fmla="*/ 1136821 w 2980508"/>
            <a:gd name="T47" fmla="*/ 2825 h 48260"/>
            <a:gd name="T48" fmla="*/ 1187346 w 2980508"/>
            <a:gd name="T49" fmla="*/ 29666 h 48260"/>
            <a:gd name="T50" fmla="*/ 1241239 w 2980508"/>
            <a:gd name="T51" fmla="*/ 2825 h 48260"/>
            <a:gd name="T52" fmla="*/ 1293451 w 2980508"/>
            <a:gd name="T53" fmla="*/ 28252 h 48260"/>
            <a:gd name="T54" fmla="*/ 1349027 w 2980508"/>
            <a:gd name="T55" fmla="*/ 1413 h 48260"/>
            <a:gd name="T56" fmla="*/ 1399553 w 2980508"/>
            <a:gd name="T57" fmla="*/ 28252 h 48260"/>
            <a:gd name="T58" fmla="*/ 1450077 w 2980508"/>
            <a:gd name="T59" fmla="*/ 1413 h 48260"/>
            <a:gd name="T60" fmla="*/ 1509023 w 2980508"/>
            <a:gd name="T61" fmla="*/ 29666 h 48260"/>
            <a:gd name="T62" fmla="*/ 1559549 w 2980508"/>
            <a:gd name="T63" fmla="*/ 2825 h 48260"/>
            <a:gd name="T64" fmla="*/ 1616811 w 2980508"/>
            <a:gd name="T65" fmla="*/ 31078 h 48260"/>
            <a:gd name="T66" fmla="*/ 1665652 w 2980508"/>
            <a:gd name="T67" fmla="*/ 1413 h 48260"/>
            <a:gd name="T68" fmla="*/ 1721230 w 2980508"/>
            <a:gd name="T69" fmla="*/ 31078 h 48260"/>
            <a:gd name="T70" fmla="*/ 1766700 w 2980508"/>
            <a:gd name="T71" fmla="*/ 2825 h 48260"/>
            <a:gd name="T72" fmla="*/ 1817226 w 2980508"/>
            <a:gd name="T73" fmla="*/ 29666 h 48260"/>
            <a:gd name="T74" fmla="*/ 1866069 w 2980508"/>
            <a:gd name="T75" fmla="*/ 1413 h 48260"/>
            <a:gd name="T76" fmla="*/ 1911540 w 2980508"/>
            <a:gd name="T77" fmla="*/ 29666 h 48260"/>
            <a:gd name="T78" fmla="*/ 1960383 w 2980508"/>
            <a:gd name="T79" fmla="*/ 4238 h 48260"/>
            <a:gd name="T80" fmla="*/ 2024381 w 2980508"/>
            <a:gd name="T81" fmla="*/ 29666 h 48260"/>
            <a:gd name="T82" fmla="*/ 2081643 w 2980508"/>
            <a:gd name="T83" fmla="*/ 1413 h 48260"/>
            <a:gd name="T84" fmla="*/ 2142275 w 2980508"/>
            <a:gd name="T85" fmla="*/ 28252 h 48260"/>
            <a:gd name="T86" fmla="*/ 2201220 w 2980508"/>
            <a:gd name="T87" fmla="*/ 2825 h 48260"/>
            <a:gd name="T88" fmla="*/ 2256796 w 2980508"/>
            <a:gd name="T89" fmla="*/ 26841 h 48260"/>
            <a:gd name="T90" fmla="*/ 2305639 w 2980508"/>
            <a:gd name="T91" fmla="*/ 0 h 48260"/>
            <a:gd name="T92" fmla="*/ 2305639 w 2980508"/>
            <a:gd name="T93" fmla="*/ 0 h 48260"/>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2980508"/>
            <a:gd name="T142" fmla="*/ 0 h 48260"/>
            <a:gd name="T143" fmla="*/ 2980508 w 2980508"/>
            <a:gd name="T144" fmla="*/ 48260 h 48260"/>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2980508" h="48260">
              <a:moveTo>
                <a:pt x="0" y="45720"/>
              </a:moveTo>
              <a:cubicBezTo>
                <a:pt x="23404" y="24130"/>
                <a:pt x="46808" y="2540"/>
                <a:pt x="69668" y="2177"/>
              </a:cubicBezTo>
              <a:cubicBezTo>
                <a:pt x="92528" y="1814"/>
                <a:pt x="113937" y="43180"/>
                <a:pt x="137160" y="43543"/>
              </a:cubicBezTo>
              <a:cubicBezTo>
                <a:pt x="160383" y="43906"/>
                <a:pt x="187598" y="3992"/>
                <a:pt x="209006" y="4355"/>
              </a:cubicBezTo>
              <a:cubicBezTo>
                <a:pt x="230414" y="4718"/>
                <a:pt x="245291" y="45720"/>
                <a:pt x="265611" y="45720"/>
              </a:cubicBezTo>
              <a:cubicBezTo>
                <a:pt x="285931" y="45720"/>
                <a:pt x="310606" y="4355"/>
                <a:pt x="330926" y="4355"/>
              </a:cubicBezTo>
              <a:cubicBezTo>
                <a:pt x="351246" y="4355"/>
                <a:pt x="367574" y="46083"/>
                <a:pt x="387531" y="45720"/>
              </a:cubicBezTo>
              <a:cubicBezTo>
                <a:pt x="407488" y="45357"/>
                <a:pt x="430711" y="2177"/>
                <a:pt x="450668" y="2177"/>
              </a:cubicBezTo>
              <a:cubicBezTo>
                <a:pt x="470625" y="2177"/>
                <a:pt x="487680" y="45720"/>
                <a:pt x="507274" y="45720"/>
              </a:cubicBezTo>
              <a:cubicBezTo>
                <a:pt x="526868" y="45720"/>
                <a:pt x="548640" y="2903"/>
                <a:pt x="568234" y="2177"/>
              </a:cubicBezTo>
              <a:cubicBezTo>
                <a:pt x="587828" y="1451"/>
                <a:pt x="604883" y="41003"/>
                <a:pt x="624840" y="41366"/>
              </a:cubicBezTo>
              <a:cubicBezTo>
                <a:pt x="644797" y="41729"/>
                <a:pt x="667657" y="3267"/>
                <a:pt x="687977" y="4355"/>
              </a:cubicBezTo>
              <a:cubicBezTo>
                <a:pt x="708297" y="5443"/>
                <a:pt x="725714" y="47897"/>
                <a:pt x="746760" y="47897"/>
              </a:cubicBezTo>
              <a:cubicBezTo>
                <a:pt x="767806" y="47897"/>
                <a:pt x="793205" y="4718"/>
                <a:pt x="814251" y="4355"/>
              </a:cubicBezTo>
              <a:cubicBezTo>
                <a:pt x="835297" y="3992"/>
                <a:pt x="853440" y="45357"/>
                <a:pt x="873034" y="45720"/>
              </a:cubicBezTo>
              <a:cubicBezTo>
                <a:pt x="892628" y="46083"/>
                <a:pt x="911134" y="6895"/>
                <a:pt x="931817" y="6532"/>
              </a:cubicBezTo>
              <a:cubicBezTo>
                <a:pt x="952500" y="6169"/>
                <a:pt x="976448" y="44269"/>
                <a:pt x="997131" y="43543"/>
              </a:cubicBezTo>
              <a:cubicBezTo>
                <a:pt x="1017814" y="42817"/>
                <a:pt x="1034868" y="1814"/>
                <a:pt x="1055914" y="2177"/>
              </a:cubicBezTo>
              <a:cubicBezTo>
                <a:pt x="1076960" y="2540"/>
                <a:pt x="1100183" y="45720"/>
                <a:pt x="1123406" y="45720"/>
              </a:cubicBezTo>
              <a:cubicBezTo>
                <a:pt x="1146629" y="45720"/>
                <a:pt x="1172028" y="2177"/>
                <a:pt x="1195251" y="2177"/>
              </a:cubicBezTo>
              <a:cubicBezTo>
                <a:pt x="1218474" y="2177"/>
                <a:pt x="1239883" y="44994"/>
                <a:pt x="1262743" y="45720"/>
              </a:cubicBezTo>
              <a:cubicBezTo>
                <a:pt x="1285603" y="46446"/>
                <a:pt x="1308100" y="6169"/>
                <a:pt x="1332411" y="6532"/>
              </a:cubicBezTo>
              <a:cubicBezTo>
                <a:pt x="1356722" y="6895"/>
                <a:pt x="1385751" y="48260"/>
                <a:pt x="1408611" y="47897"/>
              </a:cubicBezTo>
              <a:cubicBezTo>
                <a:pt x="1431471" y="47534"/>
                <a:pt x="1448525" y="4718"/>
                <a:pt x="1469571" y="4355"/>
              </a:cubicBezTo>
              <a:cubicBezTo>
                <a:pt x="1490617" y="3992"/>
                <a:pt x="1512389" y="45720"/>
                <a:pt x="1534886" y="45720"/>
              </a:cubicBezTo>
              <a:cubicBezTo>
                <a:pt x="1557383" y="45720"/>
                <a:pt x="1581694" y="4718"/>
                <a:pt x="1604554" y="4355"/>
              </a:cubicBezTo>
              <a:cubicBezTo>
                <a:pt x="1627414" y="3992"/>
                <a:pt x="1648823" y="43906"/>
                <a:pt x="1672046" y="43543"/>
              </a:cubicBezTo>
              <a:cubicBezTo>
                <a:pt x="1695269" y="43180"/>
                <a:pt x="1721031" y="2177"/>
                <a:pt x="1743891" y="2177"/>
              </a:cubicBezTo>
              <a:cubicBezTo>
                <a:pt x="1766751" y="2177"/>
                <a:pt x="1787435" y="43543"/>
                <a:pt x="1809206" y="43543"/>
              </a:cubicBezTo>
              <a:cubicBezTo>
                <a:pt x="1830977" y="43543"/>
                <a:pt x="1850934" y="1814"/>
                <a:pt x="1874520" y="2177"/>
              </a:cubicBezTo>
              <a:cubicBezTo>
                <a:pt x="1898106" y="2540"/>
                <a:pt x="1927134" y="45357"/>
                <a:pt x="1950720" y="45720"/>
              </a:cubicBezTo>
              <a:cubicBezTo>
                <a:pt x="1974306" y="46083"/>
                <a:pt x="1992811" y="3992"/>
                <a:pt x="2016034" y="4355"/>
              </a:cubicBezTo>
              <a:cubicBezTo>
                <a:pt x="2039257" y="4718"/>
                <a:pt x="2067197" y="48260"/>
                <a:pt x="2090057" y="47897"/>
              </a:cubicBezTo>
              <a:cubicBezTo>
                <a:pt x="2112917" y="47534"/>
                <a:pt x="2130697" y="2177"/>
                <a:pt x="2153194" y="2177"/>
              </a:cubicBezTo>
              <a:cubicBezTo>
                <a:pt x="2175691" y="2177"/>
                <a:pt x="2203269" y="47534"/>
                <a:pt x="2225040" y="47897"/>
              </a:cubicBezTo>
              <a:cubicBezTo>
                <a:pt x="2246811" y="48260"/>
                <a:pt x="2263140" y="4718"/>
                <a:pt x="2283823" y="4355"/>
              </a:cubicBezTo>
              <a:cubicBezTo>
                <a:pt x="2304506" y="3992"/>
                <a:pt x="2327729" y="46083"/>
                <a:pt x="2349137" y="45720"/>
              </a:cubicBezTo>
              <a:cubicBezTo>
                <a:pt x="2370545" y="45357"/>
                <a:pt x="2391954" y="2177"/>
                <a:pt x="2412274" y="2177"/>
              </a:cubicBezTo>
              <a:cubicBezTo>
                <a:pt x="2432594" y="2177"/>
                <a:pt x="2450737" y="44994"/>
                <a:pt x="2471057" y="45720"/>
              </a:cubicBezTo>
              <a:cubicBezTo>
                <a:pt x="2491377" y="46446"/>
                <a:pt x="2509883" y="6532"/>
                <a:pt x="2534194" y="6532"/>
              </a:cubicBezTo>
              <a:cubicBezTo>
                <a:pt x="2558505" y="6532"/>
                <a:pt x="2590800" y="46446"/>
                <a:pt x="2616926" y="45720"/>
              </a:cubicBezTo>
              <a:cubicBezTo>
                <a:pt x="2643052" y="44994"/>
                <a:pt x="2665548" y="2540"/>
                <a:pt x="2690948" y="2177"/>
              </a:cubicBezTo>
              <a:cubicBezTo>
                <a:pt x="2716348" y="1814"/>
                <a:pt x="2743563" y="43180"/>
                <a:pt x="2769326" y="43543"/>
              </a:cubicBezTo>
              <a:cubicBezTo>
                <a:pt x="2795089" y="43906"/>
                <a:pt x="2820852" y="4718"/>
                <a:pt x="2845526" y="4355"/>
              </a:cubicBezTo>
              <a:cubicBezTo>
                <a:pt x="2870200" y="3992"/>
                <a:pt x="2894874" y="42092"/>
                <a:pt x="2917371" y="41366"/>
              </a:cubicBezTo>
              <a:cubicBezTo>
                <a:pt x="2939868" y="40640"/>
                <a:pt x="2980508" y="0"/>
                <a:pt x="2980508" y="0"/>
              </a:cubicBezTo>
            </a:path>
          </a:pathLst>
        </a:custGeom>
        <a:solidFill>
          <a:srgbClr val="FFFFFF"/>
        </a:solidFill>
        <a:ln w="9525" cap="flat" cmpd="sng" algn="ctr">
          <a:solidFill>
            <a:srgbClr val="000000"/>
          </a:solidFill>
          <a:prstDash val="solid"/>
          <a:round/>
          <a:headEnd type="none" w="med" len="med"/>
          <a:tailEnd type="none" w="med" len="med"/>
        </a:ln>
      </xdr:spPr>
    </xdr:sp>
    <xdr:clientData/>
  </xdr:twoCellAnchor>
  <xdr:twoCellAnchor>
    <xdr:from>
      <xdr:col>4</xdr:col>
      <xdr:colOff>594360</xdr:colOff>
      <xdr:row>14</xdr:row>
      <xdr:rowOff>175260</xdr:rowOff>
    </xdr:from>
    <xdr:to>
      <xdr:col>4</xdr:col>
      <xdr:colOff>670560</xdr:colOff>
      <xdr:row>14</xdr:row>
      <xdr:rowOff>175260</xdr:rowOff>
    </xdr:to>
    <xdr:cxnSp macro="">
      <xdr:nvCxnSpPr>
        <xdr:cNvPr id="26009" name="Straight Connector 330"/>
        <xdr:cNvCxnSpPr>
          <a:cxnSpLocks noChangeShapeType="1"/>
        </xdr:cNvCxnSpPr>
      </xdr:nvCxnSpPr>
      <xdr:spPr bwMode="auto">
        <a:xfrm>
          <a:off x="4861560" y="2804160"/>
          <a:ext cx="76200" cy="0"/>
        </a:xfrm>
        <a:prstGeom prst="line">
          <a:avLst/>
        </a:prstGeom>
        <a:noFill/>
        <a:ln w="3175" algn="ctr">
          <a:solidFill>
            <a:srgbClr val="000000"/>
          </a:solidFill>
          <a:round/>
          <a:headEnd/>
          <a:tailEnd/>
        </a:ln>
      </xdr:spPr>
    </xdr:cxnSp>
    <xdr:clientData/>
  </xdr:twoCellAnchor>
  <xdr:twoCellAnchor>
    <xdr:from>
      <xdr:col>4</xdr:col>
      <xdr:colOff>815340</xdr:colOff>
      <xdr:row>14</xdr:row>
      <xdr:rowOff>22860</xdr:rowOff>
    </xdr:from>
    <xdr:to>
      <xdr:col>5</xdr:col>
      <xdr:colOff>175260</xdr:colOff>
      <xdr:row>14</xdr:row>
      <xdr:rowOff>22860</xdr:rowOff>
    </xdr:to>
    <xdr:cxnSp macro="">
      <xdr:nvCxnSpPr>
        <xdr:cNvPr id="26010" name="Straight Arrow Connector 352"/>
        <xdr:cNvCxnSpPr>
          <a:cxnSpLocks noChangeShapeType="1"/>
        </xdr:cNvCxnSpPr>
      </xdr:nvCxnSpPr>
      <xdr:spPr bwMode="auto">
        <a:xfrm flipV="1">
          <a:off x="5082540" y="2651760"/>
          <a:ext cx="190500" cy="0"/>
        </a:xfrm>
        <a:prstGeom prst="straightConnector1">
          <a:avLst/>
        </a:prstGeom>
        <a:noFill/>
        <a:ln w="3175" algn="ctr">
          <a:solidFill>
            <a:srgbClr val="000000"/>
          </a:solidFill>
          <a:round/>
          <a:headEnd/>
          <a:tailEnd type="stealth" w="sm" len="sm"/>
        </a:ln>
      </xdr:spPr>
    </xdr:cxnSp>
    <xdr:clientData/>
  </xdr:twoCellAnchor>
  <xdr:twoCellAnchor>
    <xdr:from>
      <xdr:col>4</xdr:col>
      <xdr:colOff>822960</xdr:colOff>
      <xdr:row>18</xdr:row>
      <xdr:rowOff>7620</xdr:rowOff>
    </xdr:from>
    <xdr:to>
      <xdr:col>5</xdr:col>
      <xdr:colOff>175260</xdr:colOff>
      <xdr:row>18</xdr:row>
      <xdr:rowOff>15240</xdr:rowOff>
    </xdr:to>
    <xdr:cxnSp macro="">
      <xdr:nvCxnSpPr>
        <xdr:cNvPr id="26011" name="Straight Arrow Connector 359"/>
        <xdr:cNvCxnSpPr>
          <a:cxnSpLocks noChangeShapeType="1"/>
        </xdr:cNvCxnSpPr>
      </xdr:nvCxnSpPr>
      <xdr:spPr bwMode="auto">
        <a:xfrm flipV="1">
          <a:off x="5090160" y="3398520"/>
          <a:ext cx="182880" cy="7620"/>
        </a:xfrm>
        <a:prstGeom prst="straightConnector1">
          <a:avLst/>
        </a:prstGeom>
        <a:noFill/>
        <a:ln w="3175" algn="ctr">
          <a:solidFill>
            <a:srgbClr val="000000"/>
          </a:solidFill>
          <a:round/>
          <a:headEnd/>
          <a:tailEnd type="stealth" w="sm" len="sm"/>
        </a:ln>
      </xdr:spPr>
    </xdr:cxnSp>
    <xdr:clientData/>
  </xdr:twoCellAnchor>
  <xdr:twoCellAnchor>
    <xdr:from>
      <xdr:col>4</xdr:col>
      <xdr:colOff>822960</xdr:colOff>
      <xdr:row>14</xdr:row>
      <xdr:rowOff>22860</xdr:rowOff>
    </xdr:from>
    <xdr:to>
      <xdr:col>4</xdr:col>
      <xdr:colOff>822960</xdr:colOff>
      <xdr:row>14</xdr:row>
      <xdr:rowOff>114300</xdr:rowOff>
    </xdr:to>
    <xdr:cxnSp macro="">
      <xdr:nvCxnSpPr>
        <xdr:cNvPr id="26012" name="Straight Connector 361"/>
        <xdr:cNvCxnSpPr>
          <a:cxnSpLocks noChangeShapeType="1"/>
        </xdr:cNvCxnSpPr>
      </xdr:nvCxnSpPr>
      <xdr:spPr bwMode="auto">
        <a:xfrm rot="5400000">
          <a:off x="5044440" y="2697480"/>
          <a:ext cx="91440" cy="0"/>
        </a:xfrm>
        <a:prstGeom prst="line">
          <a:avLst/>
        </a:prstGeom>
        <a:noFill/>
        <a:ln w="6350" algn="ctr">
          <a:solidFill>
            <a:srgbClr val="000000"/>
          </a:solidFill>
          <a:round/>
          <a:headEnd/>
          <a:tailEnd/>
        </a:ln>
      </xdr:spPr>
    </xdr:cxnSp>
    <xdr:clientData/>
  </xdr:twoCellAnchor>
  <xdr:twoCellAnchor>
    <xdr:from>
      <xdr:col>4</xdr:col>
      <xdr:colOff>822960</xdr:colOff>
      <xdr:row>17</xdr:row>
      <xdr:rowOff>106680</xdr:rowOff>
    </xdr:from>
    <xdr:to>
      <xdr:col>4</xdr:col>
      <xdr:colOff>822960</xdr:colOff>
      <xdr:row>18</xdr:row>
      <xdr:rowOff>15240</xdr:rowOff>
    </xdr:to>
    <xdr:cxnSp macro="">
      <xdr:nvCxnSpPr>
        <xdr:cNvPr id="26013" name="Straight Connector 363"/>
        <xdr:cNvCxnSpPr>
          <a:cxnSpLocks noChangeShapeType="1"/>
        </xdr:cNvCxnSpPr>
      </xdr:nvCxnSpPr>
      <xdr:spPr bwMode="auto">
        <a:xfrm rot="5400000">
          <a:off x="5040630" y="3356610"/>
          <a:ext cx="99060" cy="0"/>
        </a:xfrm>
        <a:prstGeom prst="line">
          <a:avLst/>
        </a:prstGeom>
        <a:noFill/>
        <a:ln w="6350" algn="ctr">
          <a:solidFill>
            <a:srgbClr val="000000"/>
          </a:solidFill>
          <a:round/>
          <a:headEnd/>
          <a:tailEnd/>
        </a:ln>
      </xdr:spPr>
    </xdr:cxnSp>
    <xdr:clientData/>
  </xdr:twoCellAnchor>
  <xdr:twoCellAnchor>
    <xdr:from>
      <xdr:col>6</xdr:col>
      <xdr:colOff>323850</xdr:colOff>
      <xdr:row>18</xdr:row>
      <xdr:rowOff>55245</xdr:rowOff>
    </xdr:from>
    <xdr:to>
      <xdr:col>8</xdr:col>
      <xdr:colOff>266700</xdr:colOff>
      <xdr:row>19</xdr:row>
      <xdr:rowOff>76201</xdr:rowOff>
    </xdr:to>
    <xdr:sp macro="" textlink="">
      <xdr:nvSpPr>
        <xdr:cNvPr id="120" name="TextBox 119"/>
        <xdr:cNvSpPr txBox="1"/>
      </xdr:nvSpPr>
      <xdr:spPr>
        <a:xfrm>
          <a:off x="3981450" y="3240405"/>
          <a:ext cx="1162050" cy="188596"/>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SEE</a:t>
          </a:r>
          <a:r>
            <a:rPr lang="en-US" sz="800" baseline="0"/>
            <a:t> SETAIL "B"</a:t>
          </a:r>
          <a:endParaRPr lang="en-US" sz="800"/>
        </a:p>
      </xdr:txBody>
    </xdr:sp>
    <xdr:clientData/>
  </xdr:twoCellAnchor>
  <xdr:twoCellAnchor>
    <xdr:from>
      <xdr:col>6</xdr:col>
      <xdr:colOff>167640</xdr:colOff>
      <xdr:row>17</xdr:row>
      <xdr:rowOff>160020</xdr:rowOff>
    </xdr:from>
    <xdr:to>
      <xdr:col>6</xdr:col>
      <xdr:colOff>327660</xdr:colOff>
      <xdr:row>18</xdr:row>
      <xdr:rowOff>160020</xdr:rowOff>
    </xdr:to>
    <xdr:cxnSp macro="">
      <xdr:nvCxnSpPr>
        <xdr:cNvPr id="26015" name="Straight Connector 369"/>
        <xdr:cNvCxnSpPr>
          <a:cxnSpLocks noChangeShapeType="1"/>
          <a:stCxn id="25901" idx="4"/>
          <a:endCxn id="120" idx="1"/>
        </xdr:cNvCxnSpPr>
      </xdr:nvCxnSpPr>
      <xdr:spPr bwMode="auto">
        <a:xfrm rot="16200000" flipH="1">
          <a:off x="6027420" y="3375660"/>
          <a:ext cx="190500" cy="160020"/>
        </a:xfrm>
        <a:prstGeom prst="line">
          <a:avLst/>
        </a:prstGeom>
        <a:noFill/>
        <a:ln w="3175" algn="ctr">
          <a:solidFill>
            <a:srgbClr val="000000"/>
          </a:solidFill>
          <a:round/>
          <a:headEnd/>
          <a:tailEnd/>
        </a:ln>
      </xdr:spPr>
    </xdr:cxnSp>
    <xdr:clientData/>
  </xdr:twoCellAnchor>
  <xdr:twoCellAnchor>
    <xdr:from>
      <xdr:col>3</xdr:col>
      <xdr:colOff>1150620</xdr:colOff>
      <xdr:row>14</xdr:row>
      <xdr:rowOff>175260</xdr:rowOff>
    </xdr:from>
    <xdr:to>
      <xdr:col>4</xdr:col>
      <xdr:colOff>129540</xdr:colOff>
      <xdr:row>15</xdr:row>
      <xdr:rowOff>91440</xdr:rowOff>
    </xdr:to>
    <xdr:cxnSp macro="">
      <xdr:nvCxnSpPr>
        <xdr:cNvPr id="26016" name="Straight Arrow Connector 371"/>
        <xdr:cNvCxnSpPr>
          <a:cxnSpLocks noChangeShapeType="1"/>
        </xdr:cNvCxnSpPr>
      </xdr:nvCxnSpPr>
      <xdr:spPr bwMode="auto">
        <a:xfrm flipV="1">
          <a:off x="4213860" y="2804160"/>
          <a:ext cx="182880" cy="106680"/>
        </a:xfrm>
        <a:prstGeom prst="straightConnector1">
          <a:avLst/>
        </a:prstGeom>
        <a:noFill/>
        <a:ln w="3175" algn="ctr">
          <a:solidFill>
            <a:srgbClr val="000000"/>
          </a:solidFill>
          <a:round/>
          <a:headEnd/>
          <a:tailEnd type="stealth" w="sm" len="sm"/>
        </a:ln>
      </xdr:spPr>
    </xdr:cxnSp>
    <xdr:clientData/>
  </xdr:twoCellAnchor>
  <xdr:twoCellAnchor>
    <xdr:from>
      <xdr:col>3</xdr:col>
      <xdr:colOff>1165860</xdr:colOff>
      <xdr:row>16</xdr:row>
      <xdr:rowOff>35560</xdr:rowOff>
    </xdr:from>
    <xdr:to>
      <xdr:col>4</xdr:col>
      <xdr:colOff>198120</xdr:colOff>
      <xdr:row>17</xdr:row>
      <xdr:rowOff>15240</xdr:rowOff>
    </xdr:to>
    <xdr:cxnSp macro="">
      <xdr:nvCxnSpPr>
        <xdr:cNvPr id="26017" name="Straight Arrow Connector 374"/>
        <xdr:cNvCxnSpPr>
          <a:cxnSpLocks noChangeShapeType="1"/>
        </xdr:cNvCxnSpPr>
      </xdr:nvCxnSpPr>
      <xdr:spPr bwMode="auto">
        <a:xfrm>
          <a:off x="4229100" y="3045460"/>
          <a:ext cx="236220" cy="170180"/>
        </a:xfrm>
        <a:prstGeom prst="straightConnector1">
          <a:avLst/>
        </a:prstGeom>
        <a:noFill/>
        <a:ln w="3175" algn="ctr">
          <a:solidFill>
            <a:srgbClr val="000000"/>
          </a:solidFill>
          <a:round/>
          <a:headEnd/>
          <a:tailEnd type="stealth" w="sm" len="sm"/>
        </a:ln>
      </xdr:spPr>
    </xdr:cxnSp>
    <xdr:clientData/>
  </xdr:twoCellAnchor>
  <xdr:twoCellAnchor>
    <xdr:from>
      <xdr:col>3</xdr:col>
      <xdr:colOff>716280</xdr:colOff>
      <xdr:row>17</xdr:row>
      <xdr:rowOff>99060</xdr:rowOff>
    </xdr:from>
    <xdr:to>
      <xdr:col>3</xdr:col>
      <xdr:colOff>716280</xdr:colOff>
      <xdr:row>18</xdr:row>
      <xdr:rowOff>45720</xdr:rowOff>
    </xdr:to>
    <xdr:cxnSp macro="">
      <xdr:nvCxnSpPr>
        <xdr:cNvPr id="26018" name="Straight Connector 379"/>
        <xdr:cNvCxnSpPr>
          <a:cxnSpLocks noChangeShapeType="1"/>
        </xdr:cNvCxnSpPr>
      </xdr:nvCxnSpPr>
      <xdr:spPr bwMode="auto">
        <a:xfrm rot="5400000">
          <a:off x="3710940" y="3368040"/>
          <a:ext cx="137160" cy="0"/>
        </a:xfrm>
        <a:prstGeom prst="line">
          <a:avLst/>
        </a:prstGeom>
        <a:noFill/>
        <a:ln w="3175" algn="ctr">
          <a:solidFill>
            <a:srgbClr val="000000"/>
          </a:solidFill>
          <a:round/>
          <a:headEnd/>
          <a:tailEnd/>
        </a:ln>
      </xdr:spPr>
    </xdr:cxnSp>
    <xdr:clientData/>
  </xdr:twoCellAnchor>
  <xdr:twoCellAnchor>
    <xdr:from>
      <xdr:col>3</xdr:col>
      <xdr:colOff>830580</xdr:colOff>
      <xdr:row>17</xdr:row>
      <xdr:rowOff>99060</xdr:rowOff>
    </xdr:from>
    <xdr:to>
      <xdr:col>3</xdr:col>
      <xdr:colOff>830580</xdr:colOff>
      <xdr:row>18</xdr:row>
      <xdr:rowOff>45720</xdr:rowOff>
    </xdr:to>
    <xdr:cxnSp macro="">
      <xdr:nvCxnSpPr>
        <xdr:cNvPr id="26019" name="Straight Connector 380"/>
        <xdr:cNvCxnSpPr>
          <a:cxnSpLocks noChangeShapeType="1"/>
        </xdr:cNvCxnSpPr>
      </xdr:nvCxnSpPr>
      <xdr:spPr bwMode="auto">
        <a:xfrm rot="5400000">
          <a:off x="3825240" y="3368040"/>
          <a:ext cx="137160" cy="0"/>
        </a:xfrm>
        <a:prstGeom prst="line">
          <a:avLst/>
        </a:prstGeom>
        <a:noFill/>
        <a:ln w="3175" algn="ctr">
          <a:solidFill>
            <a:srgbClr val="000000"/>
          </a:solidFill>
          <a:round/>
          <a:headEnd/>
          <a:tailEnd/>
        </a:ln>
      </xdr:spPr>
    </xdr:cxnSp>
    <xdr:clientData/>
  </xdr:twoCellAnchor>
  <xdr:twoCellAnchor>
    <xdr:from>
      <xdr:col>3</xdr:col>
      <xdr:colOff>525780</xdr:colOff>
      <xdr:row>17</xdr:row>
      <xdr:rowOff>182880</xdr:rowOff>
    </xdr:from>
    <xdr:to>
      <xdr:col>3</xdr:col>
      <xdr:colOff>716280</xdr:colOff>
      <xdr:row>17</xdr:row>
      <xdr:rowOff>182880</xdr:rowOff>
    </xdr:to>
    <xdr:cxnSp macro="">
      <xdr:nvCxnSpPr>
        <xdr:cNvPr id="26020" name="Straight Arrow Connector 384"/>
        <xdr:cNvCxnSpPr>
          <a:cxnSpLocks noChangeShapeType="1"/>
        </xdr:cNvCxnSpPr>
      </xdr:nvCxnSpPr>
      <xdr:spPr bwMode="auto">
        <a:xfrm flipV="1">
          <a:off x="3589020" y="3383280"/>
          <a:ext cx="190500" cy="0"/>
        </a:xfrm>
        <a:prstGeom prst="straightConnector1">
          <a:avLst/>
        </a:prstGeom>
        <a:noFill/>
        <a:ln w="3175" algn="ctr">
          <a:solidFill>
            <a:srgbClr val="000000"/>
          </a:solidFill>
          <a:round/>
          <a:headEnd/>
          <a:tailEnd type="stealth" w="med" len="sm"/>
        </a:ln>
      </xdr:spPr>
    </xdr:cxnSp>
    <xdr:clientData/>
  </xdr:twoCellAnchor>
  <xdr:twoCellAnchor>
    <xdr:from>
      <xdr:col>3</xdr:col>
      <xdr:colOff>830580</xdr:colOff>
      <xdr:row>17</xdr:row>
      <xdr:rowOff>182880</xdr:rowOff>
    </xdr:from>
    <xdr:to>
      <xdr:col>3</xdr:col>
      <xdr:colOff>1005840</xdr:colOff>
      <xdr:row>17</xdr:row>
      <xdr:rowOff>182880</xdr:rowOff>
    </xdr:to>
    <xdr:cxnSp macro="">
      <xdr:nvCxnSpPr>
        <xdr:cNvPr id="26021" name="Straight Arrow Connector 393"/>
        <xdr:cNvCxnSpPr>
          <a:cxnSpLocks noChangeShapeType="1"/>
        </xdr:cNvCxnSpPr>
      </xdr:nvCxnSpPr>
      <xdr:spPr bwMode="auto">
        <a:xfrm rot="10800000">
          <a:off x="3893820" y="3383280"/>
          <a:ext cx="175260" cy="0"/>
        </a:xfrm>
        <a:prstGeom prst="straightConnector1">
          <a:avLst/>
        </a:prstGeom>
        <a:noFill/>
        <a:ln w="3175" algn="ctr">
          <a:solidFill>
            <a:srgbClr val="000000"/>
          </a:solidFill>
          <a:round/>
          <a:headEnd/>
          <a:tailEnd type="stealth" w="sm" len="sm"/>
        </a:ln>
      </xdr:spPr>
    </xdr:cxnSp>
    <xdr:clientData/>
  </xdr:twoCellAnchor>
  <xdr:twoCellAnchor>
    <xdr:from>
      <xdr:col>4</xdr:col>
      <xdr:colOff>247650</xdr:colOff>
      <xdr:row>18</xdr:row>
      <xdr:rowOff>99060</xdr:rowOff>
    </xdr:from>
    <xdr:to>
      <xdr:col>5</xdr:col>
      <xdr:colOff>586740</xdr:colOff>
      <xdr:row>20</xdr:row>
      <xdr:rowOff>76200</xdr:rowOff>
    </xdr:to>
    <xdr:sp macro="" textlink="">
      <xdr:nvSpPr>
        <xdr:cNvPr id="128" name="TextBox 127"/>
        <xdr:cNvSpPr txBox="1"/>
      </xdr:nvSpPr>
      <xdr:spPr>
        <a:xfrm>
          <a:off x="2686050" y="3284220"/>
          <a:ext cx="948690" cy="312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sng" baseline="0"/>
            <a:t>ELEVATION</a:t>
          </a:r>
        </a:p>
      </xdr:txBody>
    </xdr:sp>
    <xdr:clientData/>
  </xdr:twoCellAnchor>
  <xdr:twoCellAnchor>
    <xdr:from>
      <xdr:col>2</xdr:col>
      <xdr:colOff>1303020</xdr:colOff>
      <xdr:row>24</xdr:row>
      <xdr:rowOff>45720</xdr:rowOff>
    </xdr:from>
    <xdr:to>
      <xdr:col>4</xdr:col>
      <xdr:colOff>769620</xdr:colOff>
      <xdr:row>26</xdr:row>
      <xdr:rowOff>0</xdr:rowOff>
    </xdr:to>
    <xdr:sp macro="" textlink="">
      <xdr:nvSpPr>
        <xdr:cNvPr id="26023" name="Freeform 449"/>
        <xdr:cNvSpPr>
          <a:spLocks/>
        </xdr:cNvSpPr>
      </xdr:nvSpPr>
      <xdr:spPr bwMode="auto">
        <a:xfrm>
          <a:off x="2369820" y="4579620"/>
          <a:ext cx="2667000" cy="335280"/>
        </a:xfrm>
        <a:custGeom>
          <a:avLst/>
          <a:gdLst>
            <a:gd name="T0" fmla="*/ 0 w 2570480"/>
            <a:gd name="T1" fmla="*/ 0 h 340360"/>
            <a:gd name="T2" fmla="*/ 305588 w 2570480"/>
            <a:gd name="T3" fmla="*/ 258684 h 340360"/>
            <a:gd name="T4" fmla="*/ 656749 w 2570480"/>
            <a:gd name="T5" fmla="*/ 0 h 340360"/>
            <a:gd name="T6" fmla="*/ 1022651 w 2570480"/>
            <a:gd name="T7" fmla="*/ 258684 h 340360"/>
            <a:gd name="T8" fmla="*/ 1356388 w 2570480"/>
            <a:gd name="T9" fmla="*/ 0 h 340360"/>
            <a:gd name="T10" fmla="*/ 1356388 w 2570480"/>
            <a:gd name="T11" fmla="*/ 0 h 340360"/>
            <a:gd name="T12" fmla="*/ 0 60000 65536"/>
            <a:gd name="T13" fmla="*/ 0 60000 65536"/>
            <a:gd name="T14" fmla="*/ 0 60000 65536"/>
            <a:gd name="T15" fmla="*/ 0 60000 65536"/>
            <a:gd name="T16" fmla="*/ 0 60000 65536"/>
            <a:gd name="T17" fmla="*/ 0 60000 65536"/>
            <a:gd name="T18" fmla="*/ 0 w 2570480"/>
            <a:gd name="T19" fmla="*/ 0 h 340360"/>
            <a:gd name="T20" fmla="*/ 2570480 w 2570480"/>
            <a:gd name="T21" fmla="*/ 340360 h 340360"/>
          </a:gdLst>
          <a:ahLst/>
          <a:cxnLst>
            <a:cxn ang="T12">
              <a:pos x="T0" y="T1"/>
            </a:cxn>
            <a:cxn ang="T13">
              <a:pos x="T2" y="T3"/>
            </a:cxn>
            <a:cxn ang="T14">
              <a:pos x="T4" y="T5"/>
            </a:cxn>
            <a:cxn ang="T15">
              <a:pos x="T6" y="T7"/>
            </a:cxn>
            <a:cxn ang="T16">
              <a:pos x="T8" y="T9"/>
            </a:cxn>
            <a:cxn ang="T17">
              <a:pos x="T10" y="T11"/>
            </a:cxn>
          </a:cxnLst>
          <a:rect l="T18" t="T19" r="T20" b="T21"/>
          <a:pathLst>
            <a:path w="2570480" h="340360">
              <a:moveTo>
                <a:pt x="0" y="0"/>
              </a:moveTo>
              <a:cubicBezTo>
                <a:pt x="185843" y="170180"/>
                <a:pt x="371687" y="340360"/>
                <a:pt x="579120" y="340360"/>
              </a:cubicBezTo>
              <a:cubicBezTo>
                <a:pt x="786553" y="340360"/>
                <a:pt x="1018117" y="0"/>
                <a:pt x="1244600" y="0"/>
              </a:cubicBezTo>
              <a:cubicBezTo>
                <a:pt x="1471083" y="0"/>
                <a:pt x="1717040" y="340360"/>
                <a:pt x="1938020" y="340360"/>
              </a:cubicBezTo>
              <a:cubicBezTo>
                <a:pt x="2159000" y="340360"/>
                <a:pt x="2570480" y="0"/>
                <a:pt x="2570480" y="0"/>
              </a:cubicBezTo>
            </a:path>
          </a:pathLst>
        </a:custGeom>
        <a:noFill/>
        <a:ln w="9525" cap="flat" cmpd="sng" algn="ctr">
          <a:solidFill>
            <a:srgbClr val="000000"/>
          </a:solidFill>
          <a:prstDash val="solid"/>
          <a:round/>
          <a:headEnd type="none" w="med" len="med"/>
          <a:tailEnd type="none" w="med" len="med"/>
        </a:ln>
      </xdr:spPr>
    </xdr:sp>
    <xdr:clientData/>
  </xdr:twoCellAnchor>
  <xdr:twoCellAnchor>
    <xdr:from>
      <xdr:col>2</xdr:col>
      <xdr:colOff>1303020</xdr:colOff>
      <xdr:row>23</xdr:row>
      <xdr:rowOff>121920</xdr:rowOff>
    </xdr:from>
    <xdr:to>
      <xdr:col>4</xdr:col>
      <xdr:colOff>769620</xdr:colOff>
      <xdr:row>25</xdr:row>
      <xdr:rowOff>83820</xdr:rowOff>
    </xdr:to>
    <xdr:sp macro="" textlink="">
      <xdr:nvSpPr>
        <xdr:cNvPr id="26024" name="Freeform 448"/>
        <xdr:cNvSpPr>
          <a:spLocks/>
        </xdr:cNvSpPr>
      </xdr:nvSpPr>
      <xdr:spPr bwMode="auto">
        <a:xfrm>
          <a:off x="2369820" y="4465320"/>
          <a:ext cx="2667000" cy="342900"/>
        </a:xfrm>
        <a:custGeom>
          <a:avLst/>
          <a:gdLst>
            <a:gd name="T0" fmla="*/ 0 w 2570480"/>
            <a:gd name="T1" fmla="*/ 0 h 340360"/>
            <a:gd name="T2" fmla="*/ 305588 w 2570480"/>
            <a:gd name="T3" fmla="*/ 313057 h 340360"/>
            <a:gd name="T4" fmla="*/ 656749 w 2570480"/>
            <a:gd name="T5" fmla="*/ 0 h 340360"/>
            <a:gd name="T6" fmla="*/ 1022651 w 2570480"/>
            <a:gd name="T7" fmla="*/ 313057 h 340360"/>
            <a:gd name="T8" fmla="*/ 1356388 w 2570480"/>
            <a:gd name="T9" fmla="*/ 0 h 340360"/>
            <a:gd name="T10" fmla="*/ 1356388 w 2570480"/>
            <a:gd name="T11" fmla="*/ 0 h 340360"/>
            <a:gd name="T12" fmla="*/ 0 60000 65536"/>
            <a:gd name="T13" fmla="*/ 0 60000 65536"/>
            <a:gd name="T14" fmla="*/ 0 60000 65536"/>
            <a:gd name="T15" fmla="*/ 0 60000 65536"/>
            <a:gd name="T16" fmla="*/ 0 60000 65536"/>
            <a:gd name="T17" fmla="*/ 0 60000 65536"/>
            <a:gd name="T18" fmla="*/ 0 w 2570480"/>
            <a:gd name="T19" fmla="*/ 0 h 340360"/>
            <a:gd name="T20" fmla="*/ 2570480 w 2570480"/>
            <a:gd name="T21" fmla="*/ 340360 h 340360"/>
          </a:gdLst>
          <a:ahLst/>
          <a:cxnLst>
            <a:cxn ang="T12">
              <a:pos x="T0" y="T1"/>
            </a:cxn>
            <a:cxn ang="T13">
              <a:pos x="T2" y="T3"/>
            </a:cxn>
            <a:cxn ang="T14">
              <a:pos x="T4" y="T5"/>
            </a:cxn>
            <a:cxn ang="T15">
              <a:pos x="T6" y="T7"/>
            </a:cxn>
            <a:cxn ang="T16">
              <a:pos x="T8" y="T9"/>
            </a:cxn>
            <a:cxn ang="T17">
              <a:pos x="T10" y="T11"/>
            </a:cxn>
          </a:cxnLst>
          <a:rect l="T18" t="T19" r="T20" b="T21"/>
          <a:pathLst>
            <a:path w="2570480" h="340360">
              <a:moveTo>
                <a:pt x="0" y="0"/>
              </a:moveTo>
              <a:cubicBezTo>
                <a:pt x="185843" y="170180"/>
                <a:pt x="371687" y="340360"/>
                <a:pt x="579120" y="340360"/>
              </a:cubicBezTo>
              <a:cubicBezTo>
                <a:pt x="786553" y="340360"/>
                <a:pt x="1018117" y="0"/>
                <a:pt x="1244600" y="0"/>
              </a:cubicBezTo>
              <a:cubicBezTo>
                <a:pt x="1471083" y="0"/>
                <a:pt x="1717040" y="340360"/>
                <a:pt x="1938020" y="340360"/>
              </a:cubicBezTo>
              <a:cubicBezTo>
                <a:pt x="2159000" y="340360"/>
                <a:pt x="2570480" y="0"/>
                <a:pt x="2570480" y="0"/>
              </a:cubicBezTo>
            </a:path>
          </a:pathLst>
        </a:custGeom>
        <a:noFill/>
        <a:ln w="9525" cap="flat" cmpd="sng" algn="ctr">
          <a:solidFill>
            <a:srgbClr val="000000"/>
          </a:solidFill>
          <a:prstDash val="solid"/>
          <a:round/>
          <a:headEnd type="none" w="med" len="med"/>
          <a:tailEnd type="none" w="med" len="med"/>
        </a:ln>
      </xdr:spPr>
    </xdr:sp>
    <xdr:clientData/>
  </xdr:twoCellAnchor>
  <xdr:twoCellAnchor>
    <xdr:from>
      <xdr:col>2</xdr:col>
      <xdr:colOff>1295400</xdr:colOff>
      <xdr:row>23</xdr:row>
      <xdr:rowOff>30480</xdr:rowOff>
    </xdr:from>
    <xdr:to>
      <xdr:col>2</xdr:col>
      <xdr:colOff>1295400</xdr:colOff>
      <xdr:row>23</xdr:row>
      <xdr:rowOff>175260</xdr:rowOff>
    </xdr:to>
    <xdr:cxnSp macro="">
      <xdr:nvCxnSpPr>
        <xdr:cNvPr id="26025" name="Straight Connector 451"/>
        <xdr:cNvCxnSpPr>
          <a:cxnSpLocks noChangeShapeType="1"/>
        </xdr:cNvCxnSpPr>
      </xdr:nvCxnSpPr>
      <xdr:spPr bwMode="auto">
        <a:xfrm rot="5400000">
          <a:off x="2289810" y="4446270"/>
          <a:ext cx="144780" cy="0"/>
        </a:xfrm>
        <a:prstGeom prst="line">
          <a:avLst/>
        </a:prstGeom>
        <a:noFill/>
        <a:ln w="3175" algn="ctr">
          <a:solidFill>
            <a:srgbClr val="000000"/>
          </a:solidFill>
          <a:round/>
          <a:headEnd/>
          <a:tailEnd/>
        </a:ln>
      </xdr:spPr>
    </xdr:cxnSp>
    <xdr:clientData/>
  </xdr:twoCellAnchor>
  <xdr:twoCellAnchor>
    <xdr:from>
      <xdr:col>2</xdr:col>
      <xdr:colOff>1295400</xdr:colOff>
      <xdr:row>23</xdr:row>
      <xdr:rowOff>175260</xdr:rowOff>
    </xdr:from>
    <xdr:to>
      <xdr:col>2</xdr:col>
      <xdr:colOff>1325880</xdr:colOff>
      <xdr:row>23</xdr:row>
      <xdr:rowOff>175260</xdr:rowOff>
    </xdr:to>
    <xdr:cxnSp macro="">
      <xdr:nvCxnSpPr>
        <xdr:cNvPr id="26026" name="Straight Connector 453"/>
        <xdr:cNvCxnSpPr>
          <a:cxnSpLocks noChangeShapeType="1"/>
        </xdr:cNvCxnSpPr>
      </xdr:nvCxnSpPr>
      <xdr:spPr bwMode="auto">
        <a:xfrm>
          <a:off x="2362200" y="4518660"/>
          <a:ext cx="30480" cy="0"/>
        </a:xfrm>
        <a:prstGeom prst="line">
          <a:avLst/>
        </a:prstGeom>
        <a:noFill/>
        <a:ln w="3175" algn="ctr">
          <a:solidFill>
            <a:srgbClr val="000000"/>
          </a:solidFill>
          <a:round/>
          <a:headEnd/>
          <a:tailEnd/>
        </a:ln>
      </xdr:spPr>
    </xdr:cxnSp>
    <xdr:clientData/>
  </xdr:twoCellAnchor>
  <xdr:twoCellAnchor>
    <xdr:from>
      <xdr:col>2</xdr:col>
      <xdr:colOff>1249680</xdr:colOff>
      <xdr:row>23</xdr:row>
      <xdr:rowOff>175260</xdr:rowOff>
    </xdr:from>
    <xdr:to>
      <xdr:col>2</xdr:col>
      <xdr:colOff>1333500</xdr:colOff>
      <xdr:row>24</xdr:row>
      <xdr:rowOff>22860</xdr:rowOff>
    </xdr:to>
    <xdr:cxnSp macro="">
      <xdr:nvCxnSpPr>
        <xdr:cNvPr id="26027" name="Straight Connector 455"/>
        <xdr:cNvCxnSpPr>
          <a:cxnSpLocks noChangeShapeType="1"/>
        </xdr:cNvCxnSpPr>
      </xdr:nvCxnSpPr>
      <xdr:spPr bwMode="auto">
        <a:xfrm rot="10800000" flipV="1">
          <a:off x="2316480" y="4518660"/>
          <a:ext cx="83820" cy="38100"/>
        </a:xfrm>
        <a:prstGeom prst="line">
          <a:avLst/>
        </a:prstGeom>
        <a:noFill/>
        <a:ln w="3175" algn="ctr">
          <a:solidFill>
            <a:srgbClr val="000000"/>
          </a:solidFill>
          <a:round/>
          <a:headEnd/>
          <a:tailEnd/>
        </a:ln>
      </xdr:spPr>
    </xdr:cxnSp>
    <xdr:clientData/>
  </xdr:twoCellAnchor>
  <xdr:twoCellAnchor>
    <xdr:from>
      <xdr:col>2</xdr:col>
      <xdr:colOff>1242060</xdr:colOff>
      <xdr:row>24</xdr:row>
      <xdr:rowOff>30480</xdr:rowOff>
    </xdr:from>
    <xdr:to>
      <xdr:col>2</xdr:col>
      <xdr:colOff>1295400</xdr:colOff>
      <xdr:row>24</xdr:row>
      <xdr:rowOff>30480</xdr:rowOff>
    </xdr:to>
    <xdr:cxnSp macro="">
      <xdr:nvCxnSpPr>
        <xdr:cNvPr id="26028" name="Straight Connector 457"/>
        <xdr:cNvCxnSpPr>
          <a:cxnSpLocks noChangeShapeType="1"/>
        </xdr:cNvCxnSpPr>
      </xdr:nvCxnSpPr>
      <xdr:spPr bwMode="auto">
        <a:xfrm>
          <a:off x="2308860" y="4564380"/>
          <a:ext cx="53340" cy="0"/>
        </a:xfrm>
        <a:prstGeom prst="line">
          <a:avLst/>
        </a:prstGeom>
        <a:noFill/>
        <a:ln w="3175" algn="ctr">
          <a:solidFill>
            <a:srgbClr val="000000"/>
          </a:solidFill>
          <a:round/>
          <a:headEnd/>
          <a:tailEnd/>
        </a:ln>
      </xdr:spPr>
    </xdr:cxnSp>
    <xdr:clientData/>
  </xdr:twoCellAnchor>
  <xdr:twoCellAnchor>
    <xdr:from>
      <xdr:col>2</xdr:col>
      <xdr:colOff>1303020</xdr:colOff>
      <xdr:row>24</xdr:row>
      <xdr:rowOff>22860</xdr:rowOff>
    </xdr:from>
    <xdr:to>
      <xdr:col>2</xdr:col>
      <xdr:colOff>1303020</xdr:colOff>
      <xdr:row>24</xdr:row>
      <xdr:rowOff>144780</xdr:rowOff>
    </xdr:to>
    <xdr:cxnSp macro="">
      <xdr:nvCxnSpPr>
        <xdr:cNvPr id="26029" name="Straight Connector 459"/>
        <xdr:cNvCxnSpPr>
          <a:cxnSpLocks noChangeShapeType="1"/>
        </xdr:cNvCxnSpPr>
      </xdr:nvCxnSpPr>
      <xdr:spPr bwMode="auto">
        <a:xfrm rot="5400000">
          <a:off x="2308860" y="4617720"/>
          <a:ext cx="121920" cy="0"/>
        </a:xfrm>
        <a:prstGeom prst="line">
          <a:avLst/>
        </a:prstGeom>
        <a:noFill/>
        <a:ln w="3175" algn="ctr">
          <a:solidFill>
            <a:srgbClr val="000000"/>
          </a:solidFill>
          <a:round/>
          <a:headEnd/>
          <a:tailEnd/>
        </a:ln>
      </xdr:spPr>
    </xdr:cxnSp>
    <xdr:clientData/>
  </xdr:twoCellAnchor>
  <xdr:twoCellAnchor>
    <xdr:from>
      <xdr:col>4</xdr:col>
      <xdr:colOff>769620</xdr:colOff>
      <xdr:row>23</xdr:row>
      <xdr:rowOff>22860</xdr:rowOff>
    </xdr:from>
    <xdr:to>
      <xdr:col>4</xdr:col>
      <xdr:colOff>769620</xdr:colOff>
      <xdr:row>23</xdr:row>
      <xdr:rowOff>160020</xdr:rowOff>
    </xdr:to>
    <xdr:cxnSp macro="">
      <xdr:nvCxnSpPr>
        <xdr:cNvPr id="26030" name="Straight Connector 460"/>
        <xdr:cNvCxnSpPr>
          <a:cxnSpLocks noChangeShapeType="1"/>
        </xdr:cNvCxnSpPr>
      </xdr:nvCxnSpPr>
      <xdr:spPr bwMode="auto">
        <a:xfrm rot="5400000">
          <a:off x="4968240" y="4434840"/>
          <a:ext cx="137160" cy="0"/>
        </a:xfrm>
        <a:prstGeom prst="line">
          <a:avLst/>
        </a:prstGeom>
        <a:noFill/>
        <a:ln w="3175" algn="ctr">
          <a:solidFill>
            <a:srgbClr val="000000"/>
          </a:solidFill>
          <a:round/>
          <a:headEnd/>
          <a:tailEnd/>
        </a:ln>
      </xdr:spPr>
    </xdr:cxnSp>
    <xdr:clientData/>
  </xdr:twoCellAnchor>
  <xdr:twoCellAnchor>
    <xdr:from>
      <xdr:col>4</xdr:col>
      <xdr:colOff>723900</xdr:colOff>
      <xdr:row>23</xdr:row>
      <xdr:rowOff>167640</xdr:rowOff>
    </xdr:from>
    <xdr:to>
      <xdr:col>4</xdr:col>
      <xdr:colOff>800100</xdr:colOff>
      <xdr:row>24</xdr:row>
      <xdr:rowOff>15240</xdr:rowOff>
    </xdr:to>
    <xdr:cxnSp macro="">
      <xdr:nvCxnSpPr>
        <xdr:cNvPr id="26031" name="Straight Connector 461"/>
        <xdr:cNvCxnSpPr>
          <a:cxnSpLocks noChangeShapeType="1"/>
        </xdr:cNvCxnSpPr>
      </xdr:nvCxnSpPr>
      <xdr:spPr bwMode="auto">
        <a:xfrm rot="10800000" flipV="1">
          <a:off x="4991100" y="4511040"/>
          <a:ext cx="76200" cy="38100"/>
        </a:xfrm>
        <a:prstGeom prst="line">
          <a:avLst/>
        </a:prstGeom>
        <a:noFill/>
        <a:ln w="3175" algn="ctr">
          <a:solidFill>
            <a:srgbClr val="000000"/>
          </a:solidFill>
          <a:round/>
          <a:headEnd/>
          <a:tailEnd/>
        </a:ln>
      </xdr:spPr>
    </xdr:cxnSp>
    <xdr:clientData/>
  </xdr:twoCellAnchor>
  <xdr:twoCellAnchor>
    <xdr:from>
      <xdr:col>4</xdr:col>
      <xdr:colOff>716280</xdr:colOff>
      <xdr:row>24</xdr:row>
      <xdr:rowOff>15240</xdr:rowOff>
    </xdr:from>
    <xdr:to>
      <xdr:col>4</xdr:col>
      <xdr:colOff>769620</xdr:colOff>
      <xdr:row>24</xdr:row>
      <xdr:rowOff>15240</xdr:rowOff>
    </xdr:to>
    <xdr:cxnSp macro="">
      <xdr:nvCxnSpPr>
        <xdr:cNvPr id="26032" name="Straight Connector 462"/>
        <xdr:cNvCxnSpPr>
          <a:cxnSpLocks noChangeShapeType="1"/>
        </xdr:cNvCxnSpPr>
      </xdr:nvCxnSpPr>
      <xdr:spPr bwMode="auto">
        <a:xfrm>
          <a:off x="4983480" y="4549140"/>
          <a:ext cx="53340" cy="0"/>
        </a:xfrm>
        <a:prstGeom prst="line">
          <a:avLst/>
        </a:prstGeom>
        <a:noFill/>
        <a:ln w="3175" algn="ctr">
          <a:solidFill>
            <a:srgbClr val="000000"/>
          </a:solidFill>
          <a:round/>
          <a:headEnd/>
          <a:tailEnd/>
        </a:ln>
      </xdr:spPr>
    </xdr:cxnSp>
    <xdr:clientData/>
  </xdr:twoCellAnchor>
  <xdr:twoCellAnchor>
    <xdr:from>
      <xdr:col>4</xdr:col>
      <xdr:colOff>777240</xdr:colOff>
      <xdr:row>24</xdr:row>
      <xdr:rowOff>15240</xdr:rowOff>
    </xdr:from>
    <xdr:to>
      <xdr:col>4</xdr:col>
      <xdr:colOff>777240</xdr:colOff>
      <xdr:row>24</xdr:row>
      <xdr:rowOff>129540</xdr:rowOff>
    </xdr:to>
    <xdr:cxnSp macro="">
      <xdr:nvCxnSpPr>
        <xdr:cNvPr id="26033" name="Straight Connector 463"/>
        <xdr:cNvCxnSpPr>
          <a:cxnSpLocks noChangeShapeType="1"/>
        </xdr:cNvCxnSpPr>
      </xdr:nvCxnSpPr>
      <xdr:spPr bwMode="auto">
        <a:xfrm rot="5400000">
          <a:off x="4987290" y="4606290"/>
          <a:ext cx="114300" cy="0"/>
        </a:xfrm>
        <a:prstGeom prst="line">
          <a:avLst/>
        </a:prstGeom>
        <a:noFill/>
        <a:ln w="3175" algn="ctr">
          <a:solidFill>
            <a:srgbClr val="000000"/>
          </a:solidFill>
          <a:round/>
          <a:headEnd/>
          <a:tailEnd/>
        </a:ln>
      </xdr:spPr>
    </xdr:cxnSp>
    <xdr:clientData/>
  </xdr:twoCellAnchor>
  <xdr:twoCellAnchor>
    <xdr:from>
      <xdr:col>4</xdr:col>
      <xdr:colOff>769620</xdr:colOff>
      <xdr:row>23</xdr:row>
      <xdr:rowOff>160020</xdr:rowOff>
    </xdr:from>
    <xdr:to>
      <xdr:col>4</xdr:col>
      <xdr:colOff>800100</xdr:colOff>
      <xdr:row>23</xdr:row>
      <xdr:rowOff>160020</xdr:rowOff>
    </xdr:to>
    <xdr:cxnSp macro="">
      <xdr:nvCxnSpPr>
        <xdr:cNvPr id="26034" name="Straight Connector 464"/>
        <xdr:cNvCxnSpPr>
          <a:cxnSpLocks noChangeShapeType="1"/>
        </xdr:cNvCxnSpPr>
      </xdr:nvCxnSpPr>
      <xdr:spPr bwMode="auto">
        <a:xfrm>
          <a:off x="5036820" y="4503420"/>
          <a:ext cx="30480" cy="0"/>
        </a:xfrm>
        <a:prstGeom prst="line">
          <a:avLst/>
        </a:prstGeom>
        <a:noFill/>
        <a:ln w="3175" algn="ctr">
          <a:solidFill>
            <a:srgbClr val="000000"/>
          </a:solidFill>
          <a:round/>
          <a:headEnd/>
          <a:tailEnd/>
        </a:ln>
      </xdr:spPr>
    </xdr:cxnSp>
    <xdr:clientData/>
  </xdr:twoCellAnchor>
  <xdr:twoCellAnchor>
    <xdr:from>
      <xdr:col>2</xdr:col>
      <xdr:colOff>1483360</xdr:colOff>
      <xdr:row>24</xdr:row>
      <xdr:rowOff>109220</xdr:rowOff>
    </xdr:from>
    <xdr:to>
      <xdr:col>2</xdr:col>
      <xdr:colOff>1544320</xdr:colOff>
      <xdr:row>24</xdr:row>
      <xdr:rowOff>170180</xdr:rowOff>
    </xdr:to>
    <xdr:cxnSp macro="">
      <xdr:nvCxnSpPr>
        <xdr:cNvPr id="26035" name="Straight Connector 466"/>
        <xdr:cNvCxnSpPr>
          <a:cxnSpLocks noChangeShapeType="1"/>
        </xdr:cNvCxnSpPr>
      </xdr:nvCxnSpPr>
      <xdr:spPr bwMode="auto">
        <a:xfrm rot="5400000">
          <a:off x="2550160" y="5313680"/>
          <a:ext cx="60960" cy="60960"/>
        </a:xfrm>
        <a:prstGeom prst="line">
          <a:avLst/>
        </a:prstGeom>
        <a:noFill/>
        <a:ln w="3175" algn="ctr">
          <a:solidFill>
            <a:srgbClr val="000000"/>
          </a:solidFill>
          <a:round/>
          <a:headEnd/>
          <a:tailEnd/>
        </a:ln>
      </xdr:spPr>
    </xdr:cxnSp>
    <xdr:clientData/>
  </xdr:twoCellAnchor>
  <xdr:twoCellAnchor>
    <xdr:from>
      <xdr:col>2</xdr:col>
      <xdr:colOff>1506220</xdr:colOff>
      <xdr:row>24</xdr:row>
      <xdr:rowOff>139700</xdr:rowOff>
    </xdr:from>
    <xdr:to>
      <xdr:col>2</xdr:col>
      <xdr:colOff>1559560</xdr:colOff>
      <xdr:row>25</xdr:row>
      <xdr:rowOff>2540</xdr:rowOff>
    </xdr:to>
    <xdr:cxnSp macro="">
      <xdr:nvCxnSpPr>
        <xdr:cNvPr id="26036" name="Straight Connector 467"/>
        <xdr:cNvCxnSpPr>
          <a:cxnSpLocks noChangeShapeType="1"/>
        </xdr:cNvCxnSpPr>
      </xdr:nvCxnSpPr>
      <xdr:spPr bwMode="auto">
        <a:xfrm rot="5400000">
          <a:off x="2573020" y="5344160"/>
          <a:ext cx="53340" cy="53340"/>
        </a:xfrm>
        <a:prstGeom prst="line">
          <a:avLst/>
        </a:prstGeom>
        <a:noFill/>
        <a:ln w="3175" algn="ctr">
          <a:solidFill>
            <a:srgbClr val="000000"/>
          </a:solidFill>
          <a:round/>
          <a:headEnd/>
          <a:tailEnd/>
        </a:ln>
      </xdr:spPr>
    </xdr:cxnSp>
    <xdr:clientData/>
  </xdr:twoCellAnchor>
  <xdr:twoCellAnchor>
    <xdr:from>
      <xdr:col>3</xdr:col>
      <xdr:colOff>114300</xdr:colOff>
      <xdr:row>24</xdr:row>
      <xdr:rowOff>53340</xdr:rowOff>
    </xdr:from>
    <xdr:to>
      <xdr:col>3</xdr:col>
      <xdr:colOff>160020</xdr:colOff>
      <xdr:row>25</xdr:row>
      <xdr:rowOff>7620</xdr:rowOff>
    </xdr:to>
    <xdr:cxnSp macro="">
      <xdr:nvCxnSpPr>
        <xdr:cNvPr id="26037" name="Straight Connector 469"/>
        <xdr:cNvCxnSpPr>
          <a:cxnSpLocks noChangeShapeType="1"/>
        </xdr:cNvCxnSpPr>
      </xdr:nvCxnSpPr>
      <xdr:spPr bwMode="auto">
        <a:xfrm rot="5400000">
          <a:off x="3387090" y="5307330"/>
          <a:ext cx="144780" cy="45720"/>
        </a:xfrm>
        <a:prstGeom prst="line">
          <a:avLst/>
        </a:prstGeom>
        <a:noFill/>
        <a:ln w="3175" algn="ctr">
          <a:solidFill>
            <a:srgbClr val="000000"/>
          </a:solidFill>
          <a:round/>
          <a:headEnd/>
          <a:tailEnd/>
        </a:ln>
      </xdr:spPr>
    </xdr:cxnSp>
    <xdr:clientData/>
  </xdr:twoCellAnchor>
  <xdr:twoCellAnchor>
    <xdr:from>
      <xdr:col>3</xdr:col>
      <xdr:colOff>175260</xdr:colOff>
      <xdr:row>24</xdr:row>
      <xdr:rowOff>0</xdr:rowOff>
    </xdr:from>
    <xdr:to>
      <xdr:col>3</xdr:col>
      <xdr:colOff>220980</xdr:colOff>
      <xdr:row>24</xdr:row>
      <xdr:rowOff>144780</xdr:rowOff>
    </xdr:to>
    <xdr:cxnSp macro="">
      <xdr:nvCxnSpPr>
        <xdr:cNvPr id="26038" name="Straight Connector 471"/>
        <xdr:cNvCxnSpPr>
          <a:cxnSpLocks noChangeShapeType="1"/>
        </xdr:cNvCxnSpPr>
      </xdr:nvCxnSpPr>
      <xdr:spPr bwMode="auto">
        <a:xfrm rot="5400000">
          <a:off x="3448050" y="5253990"/>
          <a:ext cx="144780" cy="45720"/>
        </a:xfrm>
        <a:prstGeom prst="line">
          <a:avLst/>
        </a:prstGeom>
        <a:noFill/>
        <a:ln w="3175" algn="ctr">
          <a:solidFill>
            <a:srgbClr val="000000"/>
          </a:solidFill>
          <a:round/>
          <a:headEnd/>
          <a:tailEnd/>
        </a:ln>
      </xdr:spPr>
    </xdr:cxnSp>
    <xdr:clientData/>
  </xdr:twoCellAnchor>
  <xdr:twoCellAnchor>
    <xdr:from>
      <xdr:col>3</xdr:col>
      <xdr:colOff>855980</xdr:colOff>
      <xdr:row>24</xdr:row>
      <xdr:rowOff>154940</xdr:rowOff>
    </xdr:from>
    <xdr:to>
      <xdr:col>3</xdr:col>
      <xdr:colOff>932180</xdr:colOff>
      <xdr:row>25</xdr:row>
      <xdr:rowOff>17780</xdr:rowOff>
    </xdr:to>
    <xdr:cxnSp macro="">
      <xdr:nvCxnSpPr>
        <xdr:cNvPr id="26039" name="Straight Connector 474"/>
        <xdr:cNvCxnSpPr>
          <a:cxnSpLocks noChangeShapeType="1"/>
        </xdr:cNvCxnSpPr>
      </xdr:nvCxnSpPr>
      <xdr:spPr bwMode="auto">
        <a:xfrm rot="10800000" flipV="1">
          <a:off x="4178300" y="5359400"/>
          <a:ext cx="76200" cy="53340"/>
        </a:xfrm>
        <a:prstGeom prst="line">
          <a:avLst/>
        </a:prstGeom>
        <a:noFill/>
        <a:ln w="3175" algn="ctr">
          <a:solidFill>
            <a:srgbClr val="000000"/>
          </a:solidFill>
          <a:round/>
          <a:headEnd/>
          <a:tailEnd/>
        </a:ln>
      </xdr:spPr>
    </xdr:cxnSp>
    <xdr:clientData/>
  </xdr:twoCellAnchor>
  <xdr:twoCellAnchor>
    <xdr:from>
      <xdr:col>3</xdr:col>
      <xdr:colOff>894080</xdr:colOff>
      <xdr:row>25</xdr:row>
      <xdr:rowOff>2540</xdr:rowOff>
    </xdr:from>
    <xdr:to>
      <xdr:col>3</xdr:col>
      <xdr:colOff>970280</xdr:colOff>
      <xdr:row>25</xdr:row>
      <xdr:rowOff>48260</xdr:rowOff>
    </xdr:to>
    <xdr:cxnSp macro="">
      <xdr:nvCxnSpPr>
        <xdr:cNvPr id="26040" name="Straight Connector 476"/>
        <xdr:cNvCxnSpPr>
          <a:cxnSpLocks noChangeShapeType="1"/>
        </xdr:cNvCxnSpPr>
      </xdr:nvCxnSpPr>
      <xdr:spPr bwMode="auto">
        <a:xfrm rot="10800000" flipV="1">
          <a:off x="4216400" y="5397500"/>
          <a:ext cx="76200" cy="45720"/>
        </a:xfrm>
        <a:prstGeom prst="line">
          <a:avLst/>
        </a:prstGeom>
        <a:noFill/>
        <a:ln w="3175" algn="ctr">
          <a:solidFill>
            <a:srgbClr val="000000"/>
          </a:solidFill>
          <a:round/>
          <a:headEnd/>
          <a:tailEnd/>
        </a:ln>
      </xdr:spPr>
    </xdr:cxnSp>
    <xdr:clientData/>
  </xdr:twoCellAnchor>
  <xdr:twoCellAnchor>
    <xdr:from>
      <xdr:col>4</xdr:col>
      <xdr:colOff>391160</xdr:colOff>
      <xdr:row>24</xdr:row>
      <xdr:rowOff>132080</xdr:rowOff>
    </xdr:from>
    <xdr:to>
      <xdr:col>4</xdr:col>
      <xdr:colOff>444500</xdr:colOff>
      <xdr:row>25</xdr:row>
      <xdr:rowOff>71120</xdr:rowOff>
    </xdr:to>
    <xdr:cxnSp macro="">
      <xdr:nvCxnSpPr>
        <xdr:cNvPr id="26041" name="Straight Connector 478"/>
        <xdr:cNvCxnSpPr>
          <a:cxnSpLocks noChangeShapeType="1"/>
        </xdr:cNvCxnSpPr>
      </xdr:nvCxnSpPr>
      <xdr:spPr bwMode="auto">
        <a:xfrm rot="5400000">
          <a:off x="4879340" y="5374640"/>
          <a:ext cx="129540" cy="53340"/>
        </a:xfrm>
        <a:prstGeom prst="line">
          <a:avLst/>
        </a:prstGeom>
        <a:noFill/>
        <a:ln w="3175" algn="ctr">
          <a:solidFill>
            <a:srgbClr val="000000"/>
          </a:solidFill>
          <a:round/>
          <a:headEnd/>
          <a:tailEnd/>
        </a:ln>
      </xdr:spPr>
    </xdr:cxnSp>
    <xdr:clientData/>
  </xdr:twoCellAnchor>
  <xdr:twoCellAnchor>
    <xdr:from>
      <xdr:col>4</xdr:col>
      <xdr:colOff>452120</xdr:colOff>
      <xdr:row>24</xdr:row>
      <xdr:rowOff>93980</xdr:rowOff>
    </xdr:from>
    <xdr:to>
      <xdr:col>4</xdr:col>
      <xdr:colOff>505460</xdr:colOff>
      <xdr:row>25</xdr:row>
      <xdr:rowOff>40640</xdr:rowOff>
    </xdr:to>
    <xdr:cxnSp macro="">
      <xdr:nvCxnSpPr>
        <xdr:cNvPr id="26042" name="Straight Connector 480"/>
        <xdr:cNvCxnSpPr>
          <a:cxnSpLocks noChangeShapeType="1"/>
        </xdr:cNvCxnSpPr>
      </xdr:nvCxnSpPr>
      <xdr:spPr bwMode="auto">
        <a:xfrm rot="5400000">
          <a:off x="4936490" y="5340350"/>
          <a:ext cx="137160" cy="53340"/>
        </a:xfrm>
        <a:prstGeom prst="line">
          <a:avLst/>
        </a:prstGeom>
        <a:noFill/>
        <a:ln w="3175" algn="ctr">
          <a:solidFill>
            <a:srgbClr val="000000"/>
          </a:solidFill>
          <a:round/>
          <a:headEnd/>
          <a:tailEnd/>
        </a:ln>
      </xdr:spPr>
    </xdr:cxnSp>
    <xdr:clientData/>
  </xdr:twoCellAnchor>
  <xdr:twoCellAnchor>
    <xdr:from>
      <xdr:col>2</xdr:col>
      <xdr:colOff>1866900</xdr:colOff>
      <xdr:row>26</xdr:row>
      <xdr:rowOff>45720</xdr:rowOff>
    </xdr:from>
    <xdr:to>
      <xdr:col>2</xdr:col>
      <xdr:colOff>1866900</xdr:colOff>
      <xdr:row>27</xdr:row>
      <xdr:rowOff>304800</xdr:rowOff>
    </xdr:to>
    <xdr:cxnSp macro="">
      <xdr:nvCxnSpPr>
        <xdr:cNvPr id="26043" name="Straight Connector 482"/>
        <xdr:cNvCxnSpPr>
          <a:cxnSpLocks noChangeShapeType="1"/>
        </xdr:cNvCxnSpPr>
      </xdr:nvCxnSpPr>
      <xdr:spPr bwMode="auto">
        <a:xfrm rot="5400000">
          <a:off x="2708910" y="5185410"/>
          <a:ext cx="449580" cy="0"/>
        </a:xfrm>
        <a:prstGeom prst="line">
          <a:avLst/>
        </a:prstGeom>
        <a:noFill/>
        <a:ln w="6350" algn="ctr">
          <a:solidFill>
            <a:srgbClr val="000000"/>
          </a:solidFill>
          <a:round/>
          <a:headEnd/>
          <a:tailEnd/>
        </a:ln>
      </xdr:spPr>
    </xdr:cxnSp>
    <xdr:clientData/>
  </xdr:twoCellAnchor>
  <xdr:twoCellAnchor>
    <xdr:from>
      <xdr:col>4</xdr:col>
      <xdr:colOff>152400</xdr:colOff>
      <xdr:row>26</xdr:row>
      <xdr:rowOff>38100</xdr:rowOff>
    </xdr:from>
    <xdr:to>
      <xdr:col>4</xdr:col>
      <xdr:colOff>152400</xdr:colOff>
      <xdr:row>27</xdr:row>
      <xdr:rowOff>327660</xdr:rowOff>
    </xdr:to>
    <xdr:cxnSp macro="">
      <xdr:nvCxnSpPr>
        <xdr:cNvPr id="26044" name="Straight Connector 484"/>
        <xdr:cNvCxnSpPr>
          <a:cxnSpLocks noChangeShapeType="1"/>
        </xdr:cNvCxnSpPr>
      </xdr:nvCxnSpPr>
      <xdr:spPr bwMode="auto">
        <a:xfrm rot="5400000">
          <a:off x="4179570" y="5193030"/>
          <a:ext cx="480060" cy="0"/>
        </a:xfrm>
        <a:prstGeom prst="line">
          <a:avLst/>
        </a:prstGeom>
        <a:noFill/>
        <a:ln w="6350" algn="ctr">
          <a:solidFill>
            <a:srgbClr val="000000"/>
          </a:solidFill>
          <a:round/>
          <a:headEnd/>
          <a:tailEnd/>
        </a:ln>
      </xdr:spPr>
    </xdr:cxnSp>
    <xdr:clientData/>
  </xdr:twoCellAnchor>
  <xdr:twoCellAnchor>
    <xdr:from>
      <xdr:col>3</xdr:col>
      <xdr:colOff>622300</xdr:colOff>
      <xdr:row>21</xdr:row>
      <xdr:rowOff>170180</xdr:rowOff>
    </xdr:from>
    <xdr:to>
      <xdr:col>4</xdr:col>
      <xdr:colOff>264160</xdr:colOff>
      <xdr:row>23</xdr:row>
      <xdr:rowOff>124460</xdr:rowOff>
    </xdr:to>
    <xdr:cxnSp macro="">
      <xdr:nvCxnSpPr>
        <xdr:cNvPr id="26045" name="Straight Connector 493"/>
        <xdr:cNvCxnSpPr>
          <a:cxnSpLocks noChangeShapeType="1"/>
        </xdr:cNvCxnSpPr>
      </xdr:nvCxnSpPr>
      <xdr:spPr bwMode="auto">
        <a:xfrm flipV="1">
          <a:off x="3944620" y="4803140"/>
          <a:ext cx="845820" cy="335280"/>
        </a:xfrm>
        <a:prstGeom prst="line">
          <a:avLst/>
        </a:prstGeom>
        <a:noFill/>
        <a:ln w="6350" algn="ctr">
          <a:solidFill>
            <a:srgbClr val="000000"/>
          </a:solidFill>
          <a:round/>
          <a:headEnd/>
          <a:tailEnd/>
        </a:ln>
      </xdr:spPr>
    </xdr:cxnSp>
    <xdr:clientData/>
  </xdr:twoCellAnchor>
  <xdr:twoCellAnchor>
    <xdr:from>
      <xdr:col>3</xdr:col>
      <xdr:colOff>614680</xdr:colOff>
      <xdr:row>22</xdr:row>
      <xdr:rowOff>93980</xdr:rowOff>
    </xdr:from>
    <xdr:to>
      <xdr:col>4</xdr:col>
      <xdr:colOff>256540</xdr:colOff>
      <xdr:row>24</xdr:row>
      <xdr:rowOff>55880</xdr:rowOff>
    </xdr:to>
    <xdr:cxnSp macro="">
      <xdr:nvCxnSpPr>
        <xdr:cNvPr id="26046" name="Straight Connector 494"/>
        <xdr:cNvCxnSpPr>
          <a:cxnSpLocks noChangeShapeType="1"/>
        </xdr:cNvCxnSpPr>
      </xdr:nvCxnSpPr>
      <xdr:spPr bwMode="auto">
        <a:xfrm flipV="1">
          <a:off x="3937000" y="4917440"/>
          <a:ext cx="845820" cy="342900"/>
        </a:xfrm>
        <a:prstGeom prst="line">
          <a:avLst/>
        </a:prstGeom>
        <a:noFill/>
        <a:ln w="6350" algn="ctr">
          <a:solidFill>
            <a:srgbClr val="000000"/>
          </a:solidFill>
          <a:round/>
          <a:headEnd/>
          <a:tailEnd/>
        </a:ln>
      </xdr:spPr>
    </xdr:cxnSp>
    <xdr:clientData/>
  </xdr:twoCellAnchor>
  <xdr:twoCellAnchor>
    <xdr:from>
      <xdr:col>3</xdr:col>
      <xdr:colOff>1125220</xdr:colOff>
      <xdr:row>23</xdr:row>
      <xdr:rowOff>40640</xdr:rowOff>
    </xdr:from>
    <xdr:to>
      <xdr:col>3</xdr:col>
      <xdr:colOff>1125220</xdr:colOff>
      <xdr:row>24</xdr:row>
      <xdr:rowOff>71120</xdr:rowOff>
    </xdr:to>
    <xdr:cxnSp macro="">
      <xdr:nvCxnSpPr>
        <xdr:cNvPr id="26047" name="Straight Arrow Connector 496"/>
        <xdr:cNvCxnSpPr>
          <a:cxnSpLocks noChangeShapeType="1"/>
        </xdr:cNvCxnSpPr>
      </xdr:nvCxnSpPr>
      <xdr:spPr bwMode="auto">
        <a:xfrm rot="5400000" flipH="1" flipV="1">
          <a:off x="4337050" y="5165090"/>
          <a:ext cx="220980" cy="0"/>
        </a:xfrm>
        <a:prstGeom prst="straightConnector1">
          <a:avLst/>
        </a:prstGeom>
        <a:noFill/>
        <a:ln w="3175" algn="ctr">
          <a:solidFill>
            <a:srgbClr val="000000"/>
          </a:solidFill>
          <a:round/>
          <a:headEnd/>
          <a:tailEnd type="stealth" w="sm" len="sm"/>
        </a:ln>
      </xdr:spPr>
    </xdr:cxnSp>
    <xdr:clientData/>
  </xdr:twoCellAnchor>
  <xdr:twoCellAnchor>
    <xdr:from>
      <xdr:col>3</xdr:col>
      <xdr:colOff>1125220</xdr:colOff>
      <xdr:row>21</xdr:row>
      <xdr:rowOff>55880</xdr:rowOff>
    </xdr:from>
    <xdr:to>
      <xdr:col>3</xdr:col>
      <xdr:colOff>1125220</xdr:colOff>
      <xdr:row>22</xdr:row>
      <xdr:rowOff>116840</xdr:rowOff>
    </xdr:to>
    <xdr:cxnSp macro="">
      <xdr:nvCxnSpPr>
        <xdr:cNvPr id="26048" name="Straight Arrow Connector 498"/>
        <xdr:cNvCxnSpPr>
          <a:cxnSpLocks noChangeShapeType="1"/>
        </xdr:cNvCxnSpPr>
      </xdr:nvCxnSpPr>
      <xdr:spPr bwMode="auto">
        <a:xfrm rot="5400000">
          <a:off x="4321810" y="4814570"/>
          <a:ext cx="251460" cy="0"/>
        </a:xfrm>
        <a:prstGeom prst="straightConnector1">
          <a:avLst/>
        </a:prstGeom>
        <a:noFill/>
        <a:ln w="3175" algn="ctr">
          <a:solidFill>
            <a:srgbClr val="000000"/>
          </a:solidFill>
          <a:round/>
          <a:headEnd/>
          <a:tailEnd type="stealth" w="sm" len="sm"/>
        </a:ln>
      </xdr:spPr>
    </xdr:cxnSp>
    <xdr:clientData/>
  </xdr:twoCellAnchor>
  <xdr:twoCellAnchor>
    <xdr:from>
      <xdr:col>2</xdr:col>
      <xdr:colOff>1264920</xdr:colOff>
      <xdr:row>27</xdr:row>
      <xdr:rowOff>285750</xdr:rowOff>
    </xdr:from>
    <xdr:to>
      <xdr:col>5</xdr:col>
      <xdr:colOff>15240</xdr:colOff>
      <xdr:row>27</xdr:row>
      <xdr:rowOff>701040</xdr:rowOff>
    </xdr:to>
    <xdr:sp macro="" textlink="">
      <xdr:nvSpPr>
        <xdr:cNvPr id="155" name="TextBox 154"/>
        <xdr:cNvSpPr txBox="1"/>
      </xdr:nvSpPr>
      <xdr:spPr>
        <a:xfrm>
          <a:off x="2331720" y="5391150"/>
          <a:ext cx="2781300" cy="4152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none"/>
            <a:t>                              </a:t>
          </a:r>
          <a:r>
            <a:rPr lang="en-US" sz="1100" b="1" u="sng"/>
            <a:t>DETAIL B</a:t>
          </a:r>
          <a:endParaRPr lang="en-US" sz="1100" b="1" u="sng" baseline="0"/>
        </a:p>
        <a:p>
          <a:r>
            <a:rPr lang="en-US" sz="800" u="none" baseline="0"/>
            <a:t>            (METAL CORRUGATEION &amp; GAGE INFORMATION)</a:t>
          </a:r>
          <a:endParaRPr lang="en-US" sz="800" u="none"/>
        </a:p>
      </xdr:txBody>
    </xdr:sp>
    <xdr:clientData/>
  </xdr:twoCellAnchor>
  <xdr:twoCellAnchor>
    <xdr:from>
      <xdr:col>3</xdr:col>
      <xdr:colOff>411480</xdr:colOff>
      <xdr:row>27</xdr:row>
      <xdr:rowOff>36195</xdr:rowOff>
    </xdr:from>
    <xdr:to>
      <xdr:col>3</xdr:col>
      <xdr:colOff>632460</xdr:colOff>
      <xdr:row>27</xdr:row>
      <xdr:rowOff>226695</xdr:rowOff>
    </xdr:to>
    <xdr:sp macro="" textlink="">
      <xdr:nvSpPr>
        <xdr:cNvPr id="156" name="TextBox 155"/>
        <xdr:cNvSpPr txBox="1"/>
      </xdr:nvSpPr>
      <xdr:spPr>
        <a:xfrm>
          <a:off x="2240280" y="4730115"/>
          <a:ext cx="198120" cy="1295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C</a:t>
          </a:r>
        </a:p>
      </xdr:txBody>
    </xdr:sp>
    <xdr:clientData/>
  </xdr:twoCellAnchor>
  <xdr:twoCellAnchor>
    <xdr:from>
      <xdr:col>2</xdr:col>
      <xdr:colOff>1859280</xdr:colOff>
      <xdr:row>27</xdr:row>
      <xdr:rowOff>243840</xdr:rowOff>
    </xdr:from>
    <xdr:to>
      <xdr:col>4</xdr:col>
      <xdr:colOff>152400</xdr:colOff>
      <xdr:row>27</xdr:row>
      <xdr:rowOff>243840</xdr:rowOff>
    </xdr:to>
    <xdr:cxnSp macro="">
      <xdr:nvCxnSpPr>
        <xdr:cNvPr id="26051" name="Straight Arrow Connector 486"/>
        <xdr:cNvCxnSpPr>
          <a:cxnSpLocks noChangeShapeType="1"/>
        </xdr:cNvCxnSpPr>
      </xdr:nvCxnSpPr>
      <xdr:spPr bwMode="auto">
        <a:xfrm>
          <a:off x="2926080" y="5349240"/>
          <a:ext cx="149352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3</xdr:col>
      <xdr:colOff>424180</xdr:colOff>
      <xdr:row>24</xdr:row>
      <xdr:rowOff>124459</xdr:rowOff>
    </xdr:from>
    <xdr:to>
      <xdr:col>3</xdr:col>
      <xdr:colOff>622300</xdr:colOff>
      <xdr:row>25</xdr:row>
      <xdr:rowOff>121920</xdr:rowOff>
    </xdr:to>
    <xdr:sp macro="" textlink="">
      <xdr:nvSpPr>
        <xdr:cNvPr id="158" name="TextBox 157"/>
        <xdr:cNvSpPr txBox="1"/>
      </xdr:nvSpPr>
      <xdr:spPr>
        <a:xfrm>
          <a:off x="3746500" y="5328919"/>
          <a:ext cx="198120" cy="187961"/>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d</a:t>
          </a:r>
        </a:p>
      </xdr:txBody>
    </xdr:sp>
    <xdr:clientData/>
  </xdr:twoCellAnchor>
  <xdr:twoCellAnchor>
    <xdr:from>
      <xdr:col>2</xdr:col>
      <xdr:colOff>1988820</xdr:colOff>
      <xdr:row>26</xdr:row>
      <xdr:rowOff>0</xdr:rowOff>
    </xdr:from>
    <xdr:to>
      <xdr:col>3</xdr:col>
      <xdr:colOff>708660</xdr:colOff>
      <xdr:row>26</xdr:row>
      <xdr:rowOff>0</xdr:rowOff>
    </xdr:to>
    <xdr:cxnSp macro="">
      <xdr:nvCxnSpPr>
        <xdr:cNvPr id="26053" name="Straight Connector 488"/>
        <xdr:cNvCxnSpPr>
          <a:cxnSpLocks noChangeShapeType="1"/>
        </xdr:cNvCxnSpPr>
      </xdr:nvCxnSpPr>
      <xdr:spPr bwMode="auto">
        <a:xfrm>
          <a:off x="3055620" y="4914900"/>
          <a:ext cx="716280" cy="0"/>
        </a:xfrm>
        <a:prstGeom prst="line">
          <a:avLst/>
        </a:prstGeom>
        <a:noFill/>
        <a:ln w="6350" algn="ctr">
          <a:solidFill>
            <a:srgbClr val="000000"/>
          </a:solidFill>
          <a:round/>
          <a:headEnd/>
          <a:tailEnd/>
        </a:ln>
      </xdr:spPr>
    </xdr:cxnSp>
    <xdr:clientData/>
  </xdr:twoCellAnchor>
  <xdr:twoCellAnchor>
    <xdr:from>
      <xdr:col>3</xdr:col>
      <xdr:colOff>474980</xdr:colOff>
      <xdr:row>24</xdr:row>
      <xdr:rowOff>38100</xdr:rowOff>
    </xdr:from>
    <xdr:to>
      <xdr:col>3</xdr:col>
      <xdr:colOff>482600</xdr:colOff>
      <xdr:row>25</xdr:row>
      <xdr:rowOff>182880</xdr:rowOff>
    </xdr:to>
    <xdr:cxnSp macro="">
      <xdr:nvCxnSpPr>
        <xdr:cNvPr id="26054" name="Straight Arrow Connector 490"/>
        <xdr:cNvCxnSpPr>
          <a:cxnSpLocks noChangeShapeType="1"/>
        </xdr:cNvCxnSpPr>
      </xdr:nvCxnSpPr>
      <xdr:spPr bwMode="auto">
        <a:xfrm>
          <a:off x="3797300" y="5242560"/>
          <a:ext cx="7620" cy="335280"/>
        </a:xfrm>
        <a:prstGeom prst="straightConnector1">
          <a:avLst/>
        </a:prstGeom>
        <a:noFill/>
        <a:ln w="3175" algn="ctr">
          <a:solidFill>
            <a:srgbClr val="000000"/>
          </a:solidFill>
          <a:round/>
          <a:headEnd type="stealth" w="sm" len="sm"/>
          <a:tailEnd type="stealth" w="sm" len="sm"/>
        </a:ln>
      </xdr:spPr>
    </xdr:cxnSp>
    <xdr:clientData/>
  </xdr:twoCellAnchor>
  <xdr:twoCellAnchor>
    <xdr:from>
      <xdr:col>3</xdr:col>
      <xdr:colOff>515621</xdr:colOff>
      <xdr:row>20</xdr:row>
      <xdr:rowOff>95885</xdr:rowOff>
    </xdr:from>
    <xdr:to>
      <xdr:col>3</xdr:col>
      <xdr:colOff>828040</xdr:colOff>
      <xdr:row>21</xdr:row>
      <xdr:rowOff>132080</xdr:rowOff>
    </xdr:to>
    <xdr:sp macro="" textlink="">
      <xdr:nvSpPr>
        <xdr:cNvPr id="161" name="TextBox 160"/>
        <xdr:cNvSpPr txBox="1"/>
      </xdr:nvSpPr>
      <xdr:spPr>
        <a:xfrm>
          <a:off x="3578861" y="3867785"/>
          <a:ext cx="312419" cy="22669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t</a:t>
          </a:r>
        </a:p>
      </xdr:txBody>
    </xdr:sp>
    <xdr:clientData/>
  </xdr:twoCellAnchor>
  <xdr:twoCellAnchor>
    <xdr:from>
      <xdr:col>3</xdr:col>
      <xdr:colOff>728980</xdr:colOff>
      <xdr:row>21</xdr:row>
      <xdr:rowOff>55880</xdr:rowOff>
    </xdr:from>
    <xdr:to>
      <xdr:col>3</xdr:col>
      <xdr:colOff>1125220</xdr:colOff>
      <xdr:row>21</xdr:row>
      <xdr:rowOff>55880</xdr:rowOff>
    </xdr:to>
    <xdr:cxnSp macro="">
      <xdr:nvCxnSpPr>
        <xdr:cNvPr id="26056" name="Straight Connector 502"/>
        <xdr:cNvCxnSpPr>
          <a:cxnSpLocks noChangeShapeType="1"/>
        </xdr:cNvCxnSpPr>
      </xdr:nvCxnSpPr>
      <xdr:spPr bwMode="auto">
        <a:xfrm rot="10800000">
          <a:off x="4051300" y="4688840"/>
          <a:ext cx="396240" cy="0"/>
        </a:xfrm>
        <a:prstGeom prst="line">
          <a:avLst/>
        </a:prstGeom>
        <a:noFill/>
        <a:ln w="6350" algn="ctr">
          <a:solidFill>
            <a:srgbClr val="000000"/>
          </a:solidFill>
          <a:round/>
          <a:headEnd/>
          <a:tailEnd/>
        </a:ln>
      </xdr:spPr>
    </xdr:cxnSp>
    <xdr:clientData/>
  </xdr:twoCellAnchor>
  <xdr:twoCellAnchor>
    <xdr:from>
      <xdr:col>5</xdr:col>
      <xdr:colOff>655320</xdr:colOff>
      <xdr:row>24</xdr:row>
      <xdr:rowOff>22860</xdr:rowOff>
    </xdr:from>
    <xdr:to>
      <xdr:col>5</xdr:col>
      <xdr:colOff>754380</xdr:colOff>
      <xdr:row>24</xdr:row>
      <xdr:rowOff>114300</xdr:rowOff>
    </xdr:to>
    <xdr:sp macro="" textlink="">
      <xdr:nvSpPr>
        <xdr:cNvPr id="26058" name="Rectangle 510"/>
        <xdr:cNvSpPr>
          <a:spLocks noChangeArrowheads="1"/>
        </xdr:cNvSpPr>
      </xdr:nvSpPr>
      <xdr:spPr bwMode="auto">
        <a:xfrm>
          <a:off x="5753100" y="4556760"/>
          <a:ext cx="99060" cy="91440"/>
        </a:xfrm>
        <a:prstGeom prst="rect">
          <a:avLst/>
        </a:prstGeom>
        <a:solidFill>
          <a:srgbClr val="FFFFFF"/>
        </a:solidFill>
        <a:ln w="9525" algn="ctr">
          <a:solidFill>
            <a:srgbClr val="000000"/>
          </a:solidFill>
          <a:round/>
          <a:headEnd/>
          <a:tailEnd/>
        </a:ln>
      </xdr:spPr>
    </xdr:sp>
    <xdr:clientData/>
  </xdr:twoCellAnchor>
  <xdr:twoCellAnchor>
    <xdr:from>
      <xdr:col>8</xdr:col>
      <xdr:colOff>83820</xdr:colOff>
      <xdr:row>24</xdr:row>
      <xdr:rowOff>22860</xdr:rowOff>
    </xdr:from>
    <xdr:to>
      <xdr:col>8</xdr:col>
      <xdr:colOff>190500</xdr:colOff>
      <xdr:row>24</xdr:row>
      <xdr:rowOff>114300</xdr:rowOff>
    </xdr:to>
    <xdr:sp macro="" textlink="">
      <xdr:nvSpPr>
        <xdr:cNvPr id="26059" name="Rectangle 511"/>
        <xdr:cNvSpPr>
          <a:spLocks noChangeArrowheads="1"/>
        </xdr:cNvSpPr>
      </xdr:nvSpPr>
      <xdr:spPr bwMode="auto">
        <a:xfrm>
          <a:off x="6896100" y="4556760"/>
          <a:ext cx="106680" cy="91440"/>
        </a:xfrm>
        <a:prstGeom prst="rect">
          <a:avLst/>
        </a:prstGeom>
        <a:solidFill>
          <a:srgbClr val="FFFFFF"/>
        </a:solidFill>
        <a:ln w="9525" algn="ctr">
          <a:solidFill>
            <a:srgbClr val="000000"/>
          </a:solidFill>
          <a:round/>
          <a:headEnd/>
          <a:tailEnd/>
        </a:ln>
      </xdr:spPr>
    </xdr:sp>
    <xdr:clientData/>
  </xdr:twoCellAnchor>
  <xdr:twoCellAnchor>
    <xdr:from>
      <xdr:col>5</xdr:col>
      <xdr:colOff>384983</xdr:colOff>
      <xdr:row>20</xdr:row>
      <xdr:rowOff>33771</xdr:rowOff>
    </xdr:from>
    <xdr:to>
      <xdr:col>6</xdr:col>
      <xdr:colOff>514523</xdr:colOff>
      <xdr:row>22</xdr:row>
      <xdr:rowOff>46396</xdr:rowOff>
    </xdr:to>
    <xdr:sp macro="" textlink="">
      <xdr:nvSpPr>
        <xdr:cNvPr id="26060" name="Oval 559"/>
        <xdr:cNvSpPr>
          <a:spLocks noChangeArrowheads="1"/>
        </xdr:cNvSpPr>
      </xdr:nvSpPr>
      <xdr:spPr bwMode="auto">
        <a:xfrm rot="-1263441">
          <a:off x="5482763" y="3805671"/>
          <a:ext cx="906780" cy="393625"/>
        </a:xfrm>
        <a:prstGeom prst="ellipse">
          <a:avLst/>
        </a:prstGeom>
        <a:noFill/>
        <a:ln w="3175" algn="ctr">
          <a:solidFill>
            <a:srgbClr val="000000"/>
          </a:solidFill>
          <a:round/>
          <a:headEnd/>
          <a:tailEnd/>
        </a:ln>
      </xdr:spPr>
    </xdr:sp>
    <xdr:clientData/>
  </xdr:twoCellAnchor>
  <xdr:twoCellAnchor>
    <xdr:from>
      <xdr:col>5</xdr:col>
      <xdr:colOff>160020</xdr:colOff>
      <xdr:row>21</xdr:row>
      <xdr:rowOff>30480</xdr:rowOff>
    </xdr:from>
    <xdr:to>
      <xdr:col>5</xdr:col>
      <xdr:colOff>624840</xdr:colOff>
      <xdr:row>22</xdr:row>
      <xdr:rowOff>60960</xdr:rowOff>
    </xdr:to>
    <xdr:cxnSp macro="">
      <xdr:nvCxnSpPr>
        <xdr:cNvPr id="26061" name="Straight Connector 546"/>
        <xdr:cNvCxnSpPr>
          <a:cxnSpLocks noChangeShapeType="1"/>
        </xdr:cNvCxnSpPr>
      </xdr:nvCxnSpPr>
      <xdr:spPr bwMode="auto">
        <a:xfrm rot="10800000" flipV="1">
          <a:off x="5257800" y="3992880"/>
          <a:ext cx="464820" cy="220980"/>
        </a:xfrm>
        <a:prstGeom prst="line">
          <a:avLst/>
        </a:prstGeom>
        <a:noFill/>
        <a:ln w="3175" algn="ctr">
          <a:solidFill>
            <a:srgbClr val="000000"/>
          </a:solidFill>
          <a:round/>
          <a:headEnd/>
          <a:tailEnd/>
        </a:ln>
      </xdr:spPr>
    </xdr:cxnSp>
    <xdr:clientData/>
  </xdr:twoCellAnchor>
  <xdr:twoCellAnchor>
    <xdr:from>
      <xdr:col>5</xdr:col>
      <xdr:colOff>579120</xdr:colOff>
      <xdr:row>20</xdr:row>
      <xdr:rowOff>91440</xdr:rowOff>
    </xdr:from>
    <xdr:to>
      <xdr:col>8</xdr:col>
      <xdr:colOff>274320</xdr:colOff>
      <xdr:row>24</xdr:row>
      <xdr:rowOff>30480</xdr:rowOff>
    </xdr:to>
    <xdr:sp macro="" textlink="">
      <xdr:nvSpPr>
        <xdr:cNvPr id="26062" name="Freeform 544"/>
        <xdr:cNvSpPr>
          <a:spLocks/>
        </xdr:cNvSpPr>
      </xdr:nvSpPr>
      <xdr:spPr bwMode="auto">
        <a:xfrm>
          <a:off x="5676900" y="3863340"/>
          <a:ext cx="1409700" cy="701040"/>
        </a:xfrm>
        <a:custGeom>
          <a:avLst/>
          <a:gdLst>
            <a:gd name="T0" fmla="*/ 132378 w 1410208"/>
            <a:gd name="T1" fmla="*/ 583297 h 704596"/>
            <a:gd name="T2" fmla="*/ 1097 w 1410208"/>
            <a:gd name="T3" fmla="*/ 277981 h 704596"/>
            <a:gd name="T4" fmla="*/ 125815 w 1410208"/>
            <a:gd name="T5" fmla="*/ 83687 h 704596"/>
            <a:gd name="T6" fmla="*/ 733002 w 1410208"/>
            <a:gd name="T7" fmla="*/ 421 h 704596"/>
            <a:gd name="T8" fmla="*/ 1379577 w 1410208"/>
            <a:gd name="T9" fmla="*/ 86212 h 704596"/>
            <a:gd name="T10" fmla="*/ 1517423 w 1410208"/>
            <a:gd name="T11" fmla="*/ 275458 h 704596"/>
            <a:gd name="T12" fmla="*/ 1373012 w 1410208"/>
            <a:gd name="T13" fmla="*/ 580773 h 704596"/>
            <a:gd name="T14" fmla="*/ 1373012 w 1410208"/>
            <a:gd name="T15" fmla="*/ 580773 h 704596"/>
            <a:gd name="T16" fmla="*/ 0 60000 65536"/>
            <a:gd name="T17" fmla="*/ 0 60000 65536"/>
            <a:gd name="T18" fmla="*/ 0 60000 65536"/>
            <a:gd name="T19" fmla="*/ 0 60000 65536"/>
            <a:gd name="T20" fmla="*/ 0 60000 65536"/>
            <a:gd name="T21" fmla="*/ 0 60000 65536"/>
            <a:gd name="T22" fmla="*/ 0 60000 65536"/>
            <a:gd name="T23" fmla="*/ 0 60000 65536"/>
            <a:gd name="T24" fmla="*/ 0 w 1410208"/>
            <a:gd name="T25" fmla="*/ 0 h 704596"/>
            <a:gd name="T26" fmla="*/ 1410208 w 1410208"/>
            <a:gd name="T27" fmla="*/ 704596 h 70459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410208" h="704596">
              <a:moveTo>
                <a:pt x="122936" y="704596"/>
              </a:moveTo>
              <a:cubicBezTo>
                <a:pt x="62484" y="570484"/>
                <a:pt x="2032" y="436372"/>
                <a:pt x="1016" y="335788"/>
              </a:cubicBezTo>
              <a:cubicBezTo>
                <a:pt x="0" y="235204"/>
                <a:pt x="3556" y="156972"/>
                <a:pt x="116840" y="101092"/>
              </a:cubicBezTo>
              <a:cubicBezTo>
                <a:pt x="230124" y="45212"/>
                <a:pt x="486664" y="0"/>
                <a:pt x="680720" y="508"/>
              </a:cubicBezTo>
              <a:cubicBezTo>
                <a:pt x="874776" y="1016"/>
                <a:pt x="1159764" y="48768"/>
                <a:pt x="1281176" y="104140"/>
              </a:cubicBezTo>
              <a:cubicBezTo>
                <a:pt x="1402588" y="159512"/>
                <a:pt x="1410208" y="233172"/>
                <a:pt x="1409192" y="332740"/>
              </a:cubicBezTo>
              <a:cubicBezTo>
                <a:pt x="1408176" y="432308"/>
                <a:pt x="1275080" y="701548"/>
                <a:pt x="1275080" y="701548"/>
              </a:cubicBezTo>
            </a:path>
          </a:pathLst>
        </a:custGeom>
        <a:noFill/>
        <a:ln w="9525" cap="flat" cmpd="sng" algn="ctr">
          <a:solidFill>
            <a:srgbClr val="000000"/>
          </a:solidFill>
          <a:prstDash val="solid"/>
          <a:round/>
          <a:headEnd type="none" w="med" len="med"/>
          <a:tailEnd type="none" w="med" len="med"/>
        </a:ln>
      </xdr:spPr>
    </xdr:sp>
    <xdr:clientData/>
  </xdr:twoCellAnchor>
  <xdr:twoCellAnchor>
    <xdr:from>
      <xdr:col>5</xdr:col>
      <xdr:colOff>190500</xdr:colOff>
      <xdr:row>21</xdr:row>
      <xdr:rowOff>160020</xdr:rowOff>
    </xdr:from>
    <xdr:to>
      <xdr:col>5</xdr:col>
      <xdr:colOff>556260</xdr:colOff>
      <xdr:row>22</xdr:row>
      <xdr:rowOff>137160</xdr:rowOff>
    </xdr:to>
    <xdr:cxnSp macro="">
      <xdr:nvCxnSpPr>
        <xdr:cNvPr id="26063" name="Straight Connector 548"/>
        <xdr:cNvCxnSpPr>
          <a:cxnSpLocks noChangeShapeType="1"/>
        </xdr:cNvCxnSpPr>
      </xdr:nvCxnSpPr>
      <xdr:spPr bwMode="auto">
        <a:xfrm flipV="1">
          <a:off x="5288280" y="4122420"/>
          <a:ext cx="365760" cy="167640"/>
        </a:xfrm>
        <a:prstGeom prst="line">
          <a:avLst/>
        </a:prstGeom>
        <a:noFill/>
        <a:ln w="3175" algn="ctr">
          <a:solidFill>
            <a:srgbClr val="000000"/>
          </a:solidFill>
          <a:round/>
          <a:headEnd/>
          <a:tailEnd/>
        </a:ln>
      </xdr:spPr>
    </xdr:cxnSp>
    <xdr:clientData/>
  </xdr:twoCellAnchor>
  <xdr:twoCellAnchor>
    <xdr:from>
      <xdr:col>6</xdr:col>
      <xdr:colOff>45720</xdr:colOff>
      <xdr:row>22</xdr:row>
      <xdr:rowOff>68580</xdr:rowOff>
    </xdr:from>
    <xdr:to>
      <xdr:col>7</xdr:col>
      <xdr:colOff>152400</xdr:colOff>
      <xdr:row>22</xdr:row>
      <xdr:rowOff>167640</xdr:rowOff>
    </xdr:to>
    <xdr:sp macro="" textlink="">
      <xdr:nvSpPr>
        <xdr:cNvPr id="26064" name="Rectangle 572"/>
        <xdr:cNvSpPr>
          <a:spLocks noChangeArrowheads="1"/>
        </xdr:cNvSpPr>
      </xdr:nvSpPr>
      <xdr:spPr bwMode="auto">
        <a:xfrm rot="-1369869">
          <a:off x="5920740" y="4221480"/>
          <a:ext cx="838200" cy="99060"/>
        </a:xfrm>
        <a:prstGeom prst="rect">
          <a:avLst/>
        </a:prstGeom>
        <a:noFill/>
        <a:ln w="6350" algn="ctr">
          <a:solidFill>
            <a:srgbClr val="000000"/>
          </a:solidFill>
          <a:round/>
          <a:headEnd/>
          <a:tailEnd/>
        </a:ln>
      </xdr:spPr>
    </xdr:sp>
    <xdr:clientData/>
  </xdr:twoCellAnchor>
  <xdr:twoCellAnchor>
    <xdr:from>
      <xdr:col>6</xdr:col>
      <xdr:colOff>449580</xdr:colOff>
      <xdr:row>22</xdr:row>
      <xdr:rowOff>86360</xdr:rowOff>
    </xdr:from>
    <xdr:to>
      <xdr:col>6</xdr:col>
      <xdr:colOff>487680</xdr:colOff>
      <xdr:row>22</xdr:row>
      <xdr:rowOff>177800</xdr:rowOff>
    </xdr:to>
    <xdr:cxnSp macro="">
      <xdr:nvCxnSpPr>
        <xdr:cNvPr id="26065" name="Straight Connector 574"/>
        <xdr:cNvCxnSpPr>
          <a:cxnSpLocks noChangeShapeType="1"/>
        </xdr:cNvCxnSpPr>
      </xdr:nvCxnSpPr>
      <xdr:spPr bwMode="auto">
        <a:xfrm rot="16200000" flipH="1">
          <a:off x="6557010" y="4265930"/>
          <a:ext cx="91440" cy="38100"/>
        </a:xfrm>
        <a:prstGeom prst="line">
          <a:avLst/>
        </a:prstGeom>
        <a:noFill/>
        <a:ln w="3175" algn="ctr">
          <a:solidFill>
            <a:srgbClr val="000000"/>
          </a:solidFill>
          <a:round/>
          <a:headEnd/>
          <a:tailEnd/>
        </a:ln>
      </xdr:spPr>
    </xdr:cxnSp>
    <xdr:clientData/>
  </xdr:twoCellAnchor>
  <xdr:twoCellAnchor>
    <xdr:from>
      <xdr:col>6</xdr:col>
      <xdr:colOff>480060</xdr:colOff>
      <xdr:row>22</xdr:row>
      <xdr:rowOff>124460</xdr:rowOff>
    </xdr:from>
    <xdr:to>
      <xdr:col>6</xdr:col>
      <xdr:colOff>525780</xdr:colOff>
      <xdr:row>22</xdr:row>
      <xdr:rowOff>170180</xdr:rowOff>
    </xdr:to>
    <xdr:sp macro="" textlink="">
      <xdr:nvSpPr>
        <xdr:cNvPr id="26066" name="Rectangle 575"/>
        <xdr:cNvSpPr>
          <a:spLocks noChangeArrowheads="1"/>
        </xdr:cNvSpPr>
      </xdr:nvSpPr>
      <xdr:spPr bwMode="auto">
        <a:xfrm rot="-1318092">
          <a:off x="6614160" y="4277360"/>
          <a:ext cx="45720" cy="45720"/>
        </a:xfrm>
        <a:prstGeom prst="rect">
          <a:avLst/>
        </a:prstGeom>
        <a:noFill/>
        <a:ln w="3175" algn="ctr">
          <a:solidFill>
            <a:srgbClr val="000000"/>
          </a:solidFill>
          <a:round/>
          <a:headEnd/>
          <a:tailEnd/>
        </a:ln>
      </xdr:spPr>
    </xdr:sp>
    <xdr:clientData/>
  </xdr:twoCellAnchor>
  <xdr:twoCellAnchor>
    <xdr:from>
      <xdr:col>6</xdr:col>
      <xdr:colOff>114300</xdr:colOff>
      <xdr:row>23</xdr:row>
      <xdr:rowOff>167640</xdr:rowOff>
    </xdr:from>
    <xdr:to>
      <xdr:col>6</xdr:col>
      <xdr:colOff>198120</xdr:colOff>
      <xdr:row>24</xdr:row>
      <xdr:rowOff>160020</xdr:rowOff>
    </xdr:to>
    <xdr:cxnSp macro="">
      <xdr:nvCxnSpPr>
        <xdr:cNvPr id="26067" name="Straight Connector 578"/>
        <xdr:cNvCxnSpPr>
          <a:cxnSpLocks noChangeShapeType="1"/>
        </xdr:cNvCxnSpPr>
      </xdr:nvCxnSpPr>
      <xdr:spPr bwMode="auto">
        <a:xfrm rot="16200000" flipH="1">
          <a:off x="5939790" y="4560570"/>
          <a:ext cx="182880" cy="83820"/>
        </a:xfrm>
        <a:prstGeom prst="line">
          <a:avLst/>
        </a:prstGeom>
        <a:noFill/>
        <a:ln w="3175" algn="ctr">
          <a:solidFill>
            <a:srgbClr val="000000"/>
          </a:solidFill>
          <a:round/>
          <a:headEnd/>
          <a:tailEnd/>
        </a:ln>
      </xdr:spPr>
    </xdr:cxnSp>
    <xdr:clientData/>
  </xdr:twoCellAnchor>
  <xdr:twoCellAnchor>
    <xdr:from>
      <xdr:col>7</xdr:col>
      <xdr:colOff>144780</xdr:colOff>
      <xdr:row>22</xdr:row>
      <xdr:rowOff>22860</xdr:rowOff>
    </xdr:from>
    <xdr:to>
      <xdr:col>8</xdr:col>
      <xdr:colOff>15240</xdr:colOff>
      <xdr:row>23</xdr:row>
      <xdr:rowOff>15240</xdr:rowOff>
    </xdr:to>
    <xdr:cxnSp macro="">
      <xdr:nvCxnSpPr>
        <xdr:cNvPr id="26068" name="Straight Connector 579"/>
        <xdr:cNvCxnSpPr>
          <a:cxnSpLocks noChangeShapeType="1"/>
        </xdr:cNvCxnSpPr>
      </xdr:nvCxnSpPr>
      <xdr:spPr bwMode="auto">
        <a:xfrm rot="16200000" flipH="1">
          <a:off x="6697980" y="4229100"/>
          <a:ext cx="182880" cy="76200"/>
        </a:xfrm>
        <a:prstGeom prst="line">
          <a:avLst/>
        </a:prstGeom>
        <a:noFill/>
        <a:ln w="3175" algn="ctr">
          <a:solidFill>
            <a:srgbClr val="000000"/>
          </a:solidFill>
          <a:round/>
          <a:headEnd/>
          <a:tailEnd/>
        </a:ln>
      </xdr:spPr>
    </xdr:cxnSp>
    <xdr:clientData/>
  </xdr:twoCellAnchor>
  <xdr:twoCellAnchor>
    <xdr:from>
      <xdr:col>6</xdr:col>
      <xdr:colOff>167640</xdr:colOff>
      <xdr:row>22</xdr:row>
      <xdr:rowOff>124460</xdr:rowOff>
    </xdr:from>
    <xdr:to>
      <xdr:col>7</xdr:col>
      <xdr:colOff>187960</xdr:colOff>
      <xdr:row>24</xdr:row>
      <xdr:rowOff>106680</xdr:rowOff>
    </xdr:to>
    <xdr:cxnSp macro="">
      <xdr:nvCxnSpPr>
        <xdr:cNvPr id="26069" name="Straight Arrow Connector 581"/>
        <xdr:cNvCxnSpPr>
          <a:cxnSpLocks noChangeShapeType="1"/>
        </xdr:cNvCxnSpPr>
      </xdr:nvCxnSpPr>
      <xdr:spPr bwMode="auto">
        <a:xfrm flipV="1">
          <a:off x="6301740" y="4277360"/>
          <a:ext cx="850900" cy="363220"/>
        </a:xfrm>
        <a:prstGeom prst="straightConnector1">
          <a:avLst/>
        </a:prstGeom>
        <a:noFill/>
        <a:ln w="3175" algn="ctr">
          <a:solidFill>
            <a:srgbClr val="000000"/>
          </a:solidFill>
          <a:round/>
          <a:headEnd type="stealth" w="sm" len="sm"/>
          <a:tailEnd type="stealth" w="sm" len="sm"/>
        </a:ln>
      </xdr:spPr>
    </xdr:cxnSp>
    <xdr:clientData/>
  </xdr:twoCellAnchor>
  <xdr:twoCellAnchor>
    <xdr:from>
      <xdr:col>6</xdr:col>
      <xdr:colOff>131847</xdr:colOff>
      <xdr:row>22</xdr:row>
      <xdr:rowOff>33253</xdr:rowOff>
    </xdr:from>
    <xdr:to>
      <xdr:col>6</xdr:col>
      <xdr:colOff>243840</xdr:colOff>
      <xdr:row>22</xdr:row>
      <xdr:rowOff>160019</xdr:rowOff>
    </xdr:to>
    <xdr:cxnSp macro="">
      <xdr:nvCxnSpPr>
        <xdr:cNvPr id="26070" name="Straight Arrow Connector 583"/>
        <xdr:cNvCxnSpPr>
          <a:cxnSpLocks noChangeShapeType="1"/>
          <a:stCxn id="26060" idx="4"/>
        </xdr:cNvCxnSpPr>
      </xdr:nvCxnSpPr>
      <xdr:spPr bwMode="auto">
        <a:xfrm rot="16200000" flipH="1">
          <a:off x="5999481" y="4193539"/>
          <a:ext cx="126766" cy="111993"/>
        </a:xfrm>
        <a:prstGeom prst="straightConnector1">
          <a:avLst/>
        </a:prstGeom>
        <a:noFill/>
        <a:ln w="3175" algn="ctr">
          <a:solidFill>
            <a:srgbClr val="000000"/>
          </a:solidFill>
          <a:round/>
          <a:headEnd/>
          <a:tailEnd type="stealth" w="sm" len="sm"/>
        </a:ln>
      </xdr:spPr>
    </xdr:cxnSp>
    <xdr:clientData/>
  </xdr:twoCellAnchor>
  <xdr:twoCellAnchor>
    <xdr:from>
      <xdr:col>5</xdr:col>
      <xdr:colOff>579120</xdr:colOff>
      <xdr:row>21</xdr:row>
      <xdr:rowOff>30480</xdr:rowOff>
    </xdr:from>
    <xdr:to>
      <xdr:col>6</xdr:col>
      <xdr:colOff>350520</xdr:colOff>
      <xdr:row>21</xdr:row>
      <xdr:rowOff>76200</xdr:rowOff>
    </xdr:to>
    <xdr:sp macro="" textlink="">
      <xdr:nvSpPr>
        <xdr:cNvPr id="26072" name="Rectangle 590"/>
        <xdr:cNvSpPr>
          <a:spLocks noChangeArrowheads="1"/>
        </xdr:cNvSpPr>
      </xdr:nvSpPr>
      <xdr:spPr bwMode="auto">
        <a:xfrm rot="-1458266">
          <a:off x="5676900" y="3992880"/>
          <a:ext cx="548640" cy="45720"/>
        </a:xfrm>
        <a:prstGeom prst="rect">
          <a:avLst/>
        </a:prstGeom>
        <a:noFill/>
        <a:ln w="6350" algn="ctr">
          <a:solidFill>
            <a:srgbClr val="000000"/>
          </a:solidFill>
          <a:round/>
          <a:headEnd/>
          <a:tailEnd/>
        </a:ln>
      </xdr:spPr>
    </xdr:sp>
    <xdr:clientData/>
  </xdr:twoCellAnchor>
  <xdr:twoCellAnchor>
    <xdr:from>
      <xdr:col>5</xdr:col>
      <xdr:colOff>152400</xdr:colOff>
      <xdr:row>21</xdr:row>
      <xdr:rowOff>60960</xdr:rowOff>
    </xdr:from>
    <xdr:to>
      <xdr:col>5</xdr:col>
      <xdr:colOff>228600</xdr:colOff>
      <xdr:row>22</xdr:row>
      <xdr:rowOff>30480</xdr:rowOff>
    </xdr:to>
    <xdr:cxnSp macro="">
      <xdr:nvCxnSpPr>
        <xdr:cNvPr id="26073" name="Straight Arrow Connector 602"/>
        <xdr:cNvCxnSpPr>
          <a:cxnSpLocks noChangeShapeType="1"/>
        </xdr:cNvCxnSpPr>
      </xdr:nvCxnSpPr>
      <xdr:spPr bwMode="auto">
        <a:xfrm rot="16200000" flipH="1">
          <a:off x="5208270" y="4065270"/>
          <a:ext cx="160020" cy="76200"/>
        </a:xfrm>
        <a:prstGeom prst="straightConnector1">
          <a:avLst/>
        </a:prstGeom>
        <a:noFill/>
        <a:ln w="3175" algn="ctr">
          <a:solidFill>
            <a:srgbClr val="000000"/>
          </a:solidFill>
          <a:round/>
          <a:headEnd/>
          <a:tailEnd type="stealth" w="sm" len="sm"/>
        </a:ln>
      </xdr:spPr>
    </xdr:cxnSp>
    <xdr:clientData/>
  </xdr:twoCellAnchor>
  <xdr:twoCellAnchor>
    <xdr:from>
      <xdr:col>5</xdr:col>
      <xdr:colOff>259080</xdr:colOff>
      <xdr:row>22</xdr:row>
      <xdr:rowOff>106680</xdr:rowOff>
    </xdr:from>
    <xdr:to>
      <xdr:col>5</xdr:col>
      <xdr:colOff>327660</xdr:colOff>
      <xdr:row>23</xdr:row>
      <xdr:rowOff>68580</xdr:rowOff>
    </xdr:to>
    <xdr:cxnSp macro="">
      <xdr:nvCxnSpPr>
        <xdr:cNvPr id="26074" name="Straight Arrow Connector 604"/>
        <xdr:cNvCxnSpPr>
          <a:cxnSpLocks noChangeShapeType="1"/>
        </xdr:cNvCxnSpPr>
      </xdr:nvCxnSpPr>
      <xdr:spPr bwMode="auto">
        <a:xfrm rot="16200000" flipV="1">
          <a:off x="5314950" y="4301490"/>
          <a:ext cx="152400" cy="68580"/>
        </a:xfrm>
        <a:prstGeom prst="straightConnector1">
          <a:avLst/>
        </a:prstGeom>
        <a:noFill/>
        <a:ln w="3175" algn="ctr">
          <a:solidFill>
            <a:srgbClr val="000000"/>
          </a:solidFill>
          <a:round/>
          <a:headEnd/>
          <a:tailEnd type="stealth" w="sm" len="sm"/>
        </a:ln>
      </xdr:spPr>
    </xdr:cxnSp>
    <xdr:clientData/>
  </xdr:twoCellAnchor>
  <xdr:twoCellAnchor>
    <xdr:from>
      <xdr:col>5</xdr:col>
      <xdr:colOff>110490</xdr:colOff>
      <xdr:row>27</xdr:row>
      <xdr:rowOff>222250</xdr:rowOff>
    </xdr:from>
    <xdr:to>
      <xdr:col>8</xdr:col>
      <xdr:colOff>243840</xdr:colOff>
      <xdr:row>27</xdr:row>
      <xdr:rowOff>647700</xdr:rowOff>
    </xdr:to>
    <xdr:sp macro="" textlink="">
      <xdr:nvSpPr>
        <xdr:cNvPr id="181" name="TextBox 180"/>
        <xdr:cNvSpPr txBox="1"/>
      </xdr:nvSpPr>
      <xdr:spPr>
        <a:xfrm>
          <a:off x="5208270" y="5327650"/>
          <a:ext cx="1847850" cy="425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sng"/>
            <a:t>Determining Actual</a:t>
          </a:r>
          <a:r>
            <a:rPr lang="en-US" sz="1100" b="1" u="sng" baseline="0"/>
            <a:t> Radius </a:t>
          </a:r>
          <a:r>
            <a:rPr lang="en-US" sz="1100" b="1" u="none" baseline="0">
              <a:solidFill>
                <a:srgbClr val="FF0000"/>
              </a:solidFill>
            </a:rPr>
            <a:t>*</a:t>
          </a:r>
        </a:p>
        <a:p>
          <a:r>
            <a:rPr lang="en-US" sz="800" u="none" baseline="0"/>
            <a:t>           (from field measurement)</a:t>
          </a:r>
          <a:endParaRPr lang="en-US" sz="800" u="none"/>
        </a:p>
      </xdr:txBody>
    </xdr:sp>
    <xdr:clientData/>
  </xdr:twoCellAnchor>
  <xdr:twoCellAnchor>
    <xdr:from>
      <xdr:col>6</xdr:col>
      <xdr:colOff>402287</xdr:colOff>
      <xdr:row>22</xdr:row>
      <xdr:rowOff>156074</xdr:rowOff>
    </xdr:from>
    <xdr:to>
      <xdr:col>6</xdr:col>
      <xdr:colOff>642405</xdr:colOff>
      <xdr:row>24</xdr:row>
      <xdr:rowOff>34736</xdr:rowOff>
    </xdr:to>
    <xdr:sp macro="" textlink="">
      <xdr:nvSpPr>
        <xdr:cNvPr id="182" name="TextBox 181"/>
        <xdr:cNvSpPr txBox="1"/>
      </xdr:nvSpPr>
      <xdr:spPr>
        <a:xfrm rot="20415639">
          <a:off x="4059887" y="4011794"/>
          <a:ext cx="209638" cy="213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P</a:t>
          </a:r>
        </a:p>
      </xdr:txBody>
    </xdr:sp>
    <xdr:clientData/>
  </xdr:twoCellAnchor>
  <xdr:twoCellAnchor>
    <xdr:from>
      <xdr:col>5</xdr:col>
      <xdr:colOff>68580</xdr:colOff>
      <xdr:row>21</xdr:row>
      <xdr:rowOff>60960</xdr:rowOff>
    </xdr:from>
    <xdr:to>
      <xdr:col>5</xdr:col>
      <xdr:colOff>152400</xdr:colOff>
      <xdr:row>21</xdr:row>
      <xdr:rowOff>60960</xdr:rowOff>
    </xdr:to>
    <xdr:cxnSp macro="">
      <xdr:nvCxnSpPr>
        <xdr:cNvPr id="26077" name="Straight Connector 612"/>
        <xdr:cNvCxnSpPr>
          <a:cxnSpLocks noChangeShapeType="1"/>
        </xdr:cNvCxnSpPr>
      </xdr:nvCxnSpPr>
      <xdr:spPr bwMode="auto">
        <a:xfrm rot="10800000">
          <a:off x="5166360" y="4023360"/>
          <a:ext cx="83820" cy="0"/>
        </a:xfrm>
        <a:prstGeom prst="line">
          <a:avLst/>
        </a:prstGeom>
        <a:noFill/>
        <a:ln w="6350" algn="ctr">
          <a:solidFill>
            <a:srgbClr val="000000"/>
          </a:solidFill>
          <a:round/>
          <a:headEnd/>
          <a:tailEnd/>
        </a:ln>
      </xdr:spPr>
    </xdr:cxnSp>
    <xdr:clientData/>
  </xdr:twoCellAnchor>
  <xdr:twoCellAnchor>
    <xdr:from>
      <xdr:col>4</xdr:col>
      <xdr:colOff>680720</xdr:colOff>
      <xdr:row>20</xdr:row>
      <xdr:rowOff>109220</xdr:rowOff>
    </xdr:from>
    <xdr:to>
      <xdr:col>5</xdr:col>
      <xdr:colOff>109220</xdr:colOff>
      <xdr:row>21</xdr:row>
      <xdr:rowOff>180340</xdr:rowOff>
    </xdr:to>
    <xdr:sp macro="" textlink="">
      <xdr:nvSpPr>
        <xdr:cNvPr id="184" name="TextBox 183"/>
        <xdr:cNvSpPr txBox="1"/>
      </xdr:nvSpPr>
      <xdr:spPr>
        <a:xfrm>
          <a:off x="3050540" y="3629660"/>
          <a:ext cx="106680" cy="223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M</a:t>
          </a:r>
        </a:p>
      </xdr:txBody>
    </xdr:sp>
    <xdr:clientData/>
  </xdr:twoCellAnchor>
  <xdr:twoCellAnchor>
    <xdr:from>
      <xdr:col>5</xdr:col>
      <xdr:colOff>45720</xdr:colOff>
      <xdr:row>25</xdr:row>
      <xdr:rowOff>38100</xdr:rowOff>
    </xdr:from>
    <xdr:to>
      <xdr:col>9</xdr:col>
      <xdr:colOff>99060</xdr:colOff>
      <xdr:row>27</xdr:row>
      <xdr:rowOff>419100</xdr:rowOff>
    </xdr:to>
    <xdr:sp macro="" textlink="">
      <xdr:nvSpPr>
        <xdr:cNvPr id="185" name="TextBox 184"/>
        <xdr:cNvSpPr txBox="1"/>
      </xdr:nvSpPr>
      <xdr:spPr>
        <a:xfrm>
          <a:off x="5143500" y="4762500"/>
          <a:ext cx="2209800"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Straight edge mid ordinate to check curvature:</a:t>
          </a:r>
        </a:p>
        <a:p>
          <a:r>
            <a:rPr lang="en-US" sz="800"/>
            <a:t>Radius = M/2</a:t>
          </a:r>
          <a:r>
            <a:rPr lang="en-US" sz="800" baseline="0"/>
            <a:t> + P</a:t>
          </a:r>
          <a:r>
            <a:rPr lang="en-US" sz="800" baseline="30000"/>
            <a:t>2</a:t>
          </a:r>
          <a:r>
            <a:rPr lang="en-US" sz="800" baseline="0"/>
            <a:t>/(8M)</a:t>
          </a:r>
          <a:endParaRPr lang="en-US" sz="800"/>
        </a:p>
        <a:p>
          <a:r>
            <a:rPr lang="en-US" sz="800"/>
            <a:t>P = Length</a:t>
          </a:r>
          <a:r>
            <a:rPr lang="en-US" sz="800" baseline="0"/>
            <a:t> of straight edge</a:t>
          </a:r>
        </a:p>
        <a:p>
          <a:r>
            <a:rPr lang="en-US" sz="800" baseline="0"/>
            <a:t>M = Mid Ordinate</a:t>
          </a:r>
          <a:endParaRPr lang="en-US" sz="800"/>
        </a:p>
      </xdr:txBody>
    </xdr:sp>
    <xdr:clientData/>
  </xdr:twoCellAnchor>
  <xdr:twoCellAnchor>
    <xdr:from>
      <xdr:col>5</xdr:col>
      <xdr:colOff>365760</xdr:colOff>
      <xdr:row>9</xdr:row>
      <xdr:rowOff>76200</xdr:rowOff>
    </xdr:from>
    <xdr:to>
      <xdr:col>6</xdr:col>
      <xdr:colOff>236220</xdr:colOff>
      <xdr:row>11</xdr:row>
      <xdr:rowOff>0</xdr:rowOff>
    </xdr:to>
    <xdr:cxnSp macro="">
      <xdr:nvCxnSpPr>
        <xdr:cNvPr id="26080" name="Straight Connector 187"/>
        <xdr:cNvCxnSpPr>
          <a:cxnSpLocks noChangeShapeType="1"/>
        </xdr:cNvCxnSpPr>
      </xdr:nvCxnSpPr>
      <xdr:spPr bwMode="auto">
        <a:xfrm flipV="1">
          <a:off x="5463540" y="1752600"/>
          <a:ext cx="647700" cy="304800"/>
        </a:xfrm>
        <a:prstGeom prst="line">
          <a:avLst/>
        </a:prstGeom>
        <a:noFill/>
        <a:ln w="6350" algn="ctr">
          <a:solidFill>
            <a:srgbClr val="000000"/>
          </a:solidFill>
          <a:round/>
          <a:headEnd/>
          <a:tailEnd/>
        </a:ln>
      </xdr:spPr>
    </xdr:cxnSp>
    <xdr:clientData/>
  </xdr:twoCellAnchor>
  <xdr:twoCellAnchor>
    <xdr:from>
      <xdr:col>5</xdr:col>
      <xdr:colOff>419100</xdr:colOff>
      <xdr:row>12</xdr:row>
      <xdr:rowOff>182880</xdr:rowOff>
    </xdr:from>
    <xdr:to>
      <xdr:col>6</xdr:col>
      <xdr:colOff>304800</xdr:colOff>
      <xdr:row>14</xdr:row>
      <xdr:rowOff>114300</xdr:rowOff>
    </xdr:to>
    <xdr:cxnSp macro="">
      <xdr:nvCxnSpPr>
        <xdr:cNvPr id="26081" name="Straight Connector 188"/>
        <xdr:cNvCxnSpPr>
          <a:cxnSpLocks noChangeShapeType="1"/>
        </xdr:cNvCxnSpPr>
      </xdr:nvCxnSpPr>
      <xdr:spPr bwMode="auto">
        <a:xfrm flipV="1">
          <a:off x="5516880" y="2430780"/>
          <a:ext cx="662940" cy="312420"/>
        </a:xfrm>
        <a:prstGeom prst="line">
          <a:avLst/>
        </a:prstGeom>
        <a:noFill/>
        <a:ln w="6350" algn="ctr">
          <a:solidFill>
            <a:srgbClr val="000000"/>
          </a:solidFill>
          <a:round/>
          <a:headEnd/>
          <a:tailEnd/>
        </a:ln>
      </xdr:spPr>
    </xdr:cxnSp>
    <xdr:clientData/>
  </xdr:twoCellAnchor>
  <xdr:twoCellAnchor>
    <xdr:from>
      <xdr:col>6</xdr:col>
      <xdr:colOff>148589</xdr:colOff>
      <xdr:row>10</xdr:row>
      <xdr:rowOff>100965</xdr:rowOff>
    </xdr:from>
    <xdr:to>
      <xdr:col>8</xdr:col>
      <xdr:colOff>218440</xdr:colOff>
      <xdr:row>12</xdr:row>
      <xdr:rowOff>85725</xdr:rowOff>
    </xdr:to>
    <xdr:sp macro="" textlink="">
      <xdr:nvSpPr>
        <xdr:cNvPr id="188" name="TextBox 187"/>
        <xdr:cNvSpPr txBox="1"/>
      </xdr:nvSpPr>
      <xdr:spPr>
        <a:xfrm>
          <a:off x="3806189" y="1945005"/>
          <a:ext cx="1289051" cy="3200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Minimum</a:t>
          </a:r>
          <a:r>
            <a:rPr lang="en-US" sz="800" baseline="0"/>
            <a:t> </a:t>
          </a:r>
          <a:r>
            <a:rPr lang="en-US" sz="800"/>
            <a:t>Depth</a:t>
          </a:r>
          <a:r>
            <a:rPr lang="en-US" sz="800" baseline="0"/>
            <a:t> of Fill  above crown "H"</a:t>
          </a:r>
          <a:endParaRPr lang="en-US" sz="800"/>
        </a:p>
      </xdr:txBody>
    </xdr:sp>
    <xdr:clientData/>
  </xdr:twoCellAnchor>
  <xdr:twoCellAnchor>
    <xdr:from>
      <xdr:col>6</xdr:col>
      <xdr:colOff>198120</xdr:colOff>
      <xdr:row>9</xdr:row>
      <xdr:rowOff>99060</xdr:rowOff>
    </xdr:from>
    <xdr:to>
      <xdr:col>6</xdr:col>
      <xdr:colOff>198120</xdr:colOff>
      <xdr:row>13</xdr:row>
      <xdr:rowOff>30480</xdr:rowOff>
    </xdr:to>
    <xdr:cxnSp macro="">
      <xdr:nvCxnSpPr>
        <xdr:cNvPr id="26083" name="Straight Arrow Connector 170"/>
        <xdr:cNvCxnSpPr>
          <a:cxnSpLocks noChangeShapeType="1"/>
        </xdr:cNvCxnSpPr>
      </xdr:nvCxnSpPr>
      <xdr:spPr bwMode="auto">
        <a:xfrm rot="5400000">
          <a:off x="5726430" y="2122170"/>
          <a:ext cx="69342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5</xdr:col>
      <xdr:colOff>411480</xdr:colOff>
      <xdr:row>9</xdr:row>
      <xdr:rowOff>144780</xdr:rowOff>
    </xdr:from>
    <xdr:to>
      <xdr:col>5</xdr:col>
      <xdr:colOff>411480</xdr:colOff>
      <xdr:row>11</xdr:row>
      <xdr:rowOff>53340</xdr:rowOff>
    </xdr:to>
    <xdr:cxnSp macro="">
      <xdr:nvCxnSpPr>
        <xdr:cNvPr id="26084" name="Straight Connector 222"/>
        <xdr:cNvCxnSpPr>
          <a:cxnSpLocks noChangeShapeType="1"/>
        </xdr:cNvCxnSpPr>
      </xdr:nvCxnSpPr>
      <xdr:spPr bwMode="auto">
        <a:xfrm rot="5400000" flipH="1" flipV="1">
          <a:off x="5364480" y="1965960"/>
          <a:ext cx="289560" cy="0"/>
        </a:xfrm>
        <a:prstGeom prst="line">
          <a:avLst/>
        </a:prstGeom>
        <a:noFill/>
        <a:ln w="3175" algn="ctr">
          <a:solidFill>
            <a:srgbClr val="000000"/>
          </a:solidFill>
          <a:round/>
          <a:headEnd/>
          <a:tailEnd/>
        </a:ln>
      </xdr:spPr>
    </xdr:cxnSp>
    <xdr:clientData/>
  </xdr:twoCellAnchor>
  <xdr:twoCellAnchor>
    <xdr:from>
      <xdr:col>6</xdr:col>
      <xdr:colOff>40005</xdr:colOff>
      <xdr:row>20</xdr:row>
      <xdr:rowOff>148590</xdr:rowOff>
    </xdr:from>
    <xdr:to>
      <xdr:col>6</xdr:col>
      <xdr:colOff>66791</xdr:colOff>
      <xdr:row>21</xdr:row>
      <xdr:rowOff>32506</xdr:rowOff>
    </xdr:to>
    <xdr:cxnSp macro="">
      <xdr:nvCxnSpPr>
        <xdr:cNvPr id="204" name="Straight Connector 203"/>
        <xdr:cNvCxnSpPr>
          <a:stCxn id="26072" idx="0"/>
        </xdr:cNvCxnSpPr>
      </xdr:nvCxnSpPr>
      <xdr:spPr bwMode="auto">
        <a:xfrm rot="16200000" flipV="1">
          <a:off x="5891210" y="3944305"/>
          <a:ext cx="74416" cy="26786"/>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12</xdr:col>
      <xdr:colOff>693420</xdr:colOff>
      <xdr:row>40</xdr:row>
      <xdr:rowOff>109220</xdr:rowOff>
    </xdr:from>
    <xdr:to>
      <xdr:col>15</xdr:col>
      <xdr:colOff>176530</xdr:colOff>
      <xdr:row>45</xdr:row>
      <xdr:rowOff>82550</xdr:rowOff>
    </xdr:to>
    <xdr:grpSp>
      <xdr:nvGrpSpPr>
        <xdr:cNvPr id="236" name="Group 235"/>
        <xdr:cNvGrpSpPr/>
      </xdr:nvGrpSpPr>
      <xdr:grpSpPr>
        <a:xfrm>
          <a:off x="9444514" y="9538970"/>
          <a:ext cx="1530985" cy="1163955"/>
          <a:chOff x="7791450" y="9570720"/>
          <a:chExt cx="1593850" cy="1253490"/>
        </a:xfrm>
      </xdr:grpSpPr>
      <xdr:sp macro="" textlink="">
        <xdr:nvSpPr>
          <xdr:cNvPr id="237" name="TextBox 236"/>
          <xdr:cNvSpPr txBox="1"/>
        </xdr:nvSpPr>
        <xdr:spPr>
          <a:xfrm>
            <a:off x="8272780" y="10436860"/>
            <a:ext cx="595630" cy="200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a:latin typeface="+mn-lt"/>
              </a:rPr>
              <a:t>Flexible</a:t>
            </a:r>
            <a:r>
              <a:rPr lang="en-US" sz="600" b="1" baseline="0">
                <a:latin typeface="+mn-lt"/>
              </a:rPr>
              <a:t> Pipe</a:t>
            </a:r>
            <a:endParaRPr lang="en-US" sz="600" b="1">
              <a:latin typeface="+mn-lt"/>
            </a:endParaRPr>
          </a:p>
        </xdr:txBody>
      </xdr:sp>
      <xdr:grpSp>
        <xdr:nvGrpSpPr>
          <xdr:cNvPr id="238" name="Group 237"/>
          <xdr:cNvGrpSpPr/>
        </xdr:nvGrpSpPr>
        <xdr:grpSpPr>
          <a:xfrm>
            <a:off x="7791450" y="9570720"/>
            <a:ext cx="1593850" cy="1253490"/>
            <a:chOff x="7791450" y="9570720"/>
            <a:chExt cx="1593850" cy="1253490"/>
          </a:xfrm>
        </xdr:grpSpPr>
        <xdr:sp macro="" textlink="">
          <xdr:nvSpPr>
            <xdr:cNvPr id="239" name="TextBox 238"/>
            <xdr:cNvSpPr txBox="1"/>
          </xdr:nvSpPr>
          <xdr:spPr>
            <a:xfrm>
              <a:off x="8181340" y="9832245"/>
              <a:ext cx="508000"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mn-lt"/>
                </a:rPr>
                <a:t>H</a:t>
              </a:r>
              <a:r>
                <a:rPr lang="en-US" sz="700" baseline="-25000">
                  <a:latin typeface="+mn-lt"/>
                </a:rPr>
                <a:t>min</a:t>
              </a:r>
              <a:r>
                <a:rPr lang="en-US" sz="700" baseline="0">
                  <a:latin typeface="+mn-lt"/>
                </a:rPr>
                <a:t>= H</a:t>
              </a:r>
            </a:p>
          </xdr:txBody>
        </xdr:sp>
        <xdr:grpSp>
          <xdr:nvGrpSpPr>
            <xdr:cNvPr id="240" name="Group 239"/>
            <xdr:cNvGrpSpPr/>
          </xdr:nvGrpSpPr>
          <xdr:grpSpPr>
            <a:xfrm>
              <a:off x="7791450" y="9570720"/>
              <a:ext cx="1593850" cy="1253490"/>
              <a:chOff x="7791450" y="9570720"/>
              <a:chExt cx="1593850" cy="1253490"/>
            </a:xfrm>
          </xdr:grpSpPr>
          <xdr:sp macro="" textlink="">
            <xdr:nvSpPr>
              <xdr:cNvPr id="242" name="TextBox 241"/>
              <xdr:cNvSpPr txBox="1"/>
            </xdr:nvSpPr>
            <xdr:spPr>
              <a:xfrm>
                <a:off x="8575040" y="9570720"/>
                <a:ext cx="81026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a:solidFill>
                      <a:srgbClr val="FF0000"/>
                    </a:solidFill>
                    <a:latin typeface="+mn-lt"/>
                  </a:rPr>
                  <a:t>Rigid</a:t>
                </a:r>
                <a:r>
                  <a:rPr lang="en-US" sz="600" b="1" baseline="0">
                    <a:solidFill>
                      <a:srgbClr val="FF0000"/>
                    </a:solidFill>
                    <a:latin typeface="+mn-lt"/>
                  </a:rPr>
                  <a:t> Pavement</a:t>
                </a:r>
                <a:endParaRPr lang="en-US" sz="600" b="1">
                  <a:solidFill>
                    <a:srgbClr val="FF0000"/>
                  </a:solidFill>
                  <a:latin typeface="+mn-lt"/>
                </a:endParaRPr>
              </a:p>
            </xdr:txBody>
          </xdr:sp>
          <xdr:sp macro="" textlink="">
            <xdr:nvSpPr>
              <xdr:cNvPr id="243" name="TextBox 242"/>
              <xdr:cNvSpPr txBox="1"/>
            </xdr:nvSpPr>
            <xdr:spPr>
              <a:xfrm>
                <a:off x="8663940" y="9715500"/>
                <a:ext cx="582930" cy="1549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a:latin typeface="+mn-lt"/>
                  </a:rPr>
                  <a:t>Base Course</a:t>
                </a:r>
              </a:p>
            </xdr:txBody>
          </xdr:sp>
          <xdr:sp macro="" textlink="">
            <xdr:nvSpPr>
              <xdr:cNvPr id="244" name="TextBox 243"/>
              <xdr:cNvSpPr txBox="1"/>
            </xdr:nvSpPr>
            <xdr:spPr>
              <a:xfrm>
                <a:off x="8714740" y="9855200"/>
                <a:ext cx="508000"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a:latin typeface="+mn-lt"/>
                  </a:rPr>
                  <a:t>Subbase</a:t>
                </a:r>
              </a:p>
            </xdr:txBody>
          </xdr:sp>
          <xdr:grpSp>
            <xdr:nvGrpSpPr>
              <xdr:cNvPr id="245" name="Group 244"/>
              <xdr:cNvGrpSpPr/>
            </xdr:nvGrpSpPr>
            <xdr:grpSpPr>
              <a:xfrm>
                <a:off x="7791450" y="9608820"/>
                <a:ext cx="1454150" cy="1215390"/>
                <a:chOff x="7791450" y="9608820"/>
                <a:chExt cx="1454150" cy="1215390"/>
              </a:xfrm>
            </xdr:grpSpPr>
            <xdr:cxnSp macro="">
              <xdr:nvCxnSpPr>
                <xdr:cNvPr id="246" name="Straight Connector 245"/>
                <xdr:cNvCxnSpPr/>
              </xdr:nvCxnSpPr>
              <xdr:spPr bwMode="auto">
                <a:xfrm>
                  <a:off x="7797800" y="9611360"/>
                  <a:ext cx="0" cy="40386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sp macro="" textlink="">
              <xdr:nvSpPr>
                <xdr:cNvPr id="247" name="Donut 246"/>
                <xdr:cNvSpPr/>
              </xdr:nvSpPr>
              <xdr:spPr bwMode="auto">
                <a:xfrm>
                  <a:off x="8262620" y="10229850"/>
                  <a:ext cx="594360" cy="594360"/>
                </a:xfrm>
                <a:prstGeom prst="donut">
                  <a:avLst>
                    <a:gd name="adj" fmla="val 7426"/>
                  </a:avLst>
                </a:prstGeom>
                <a:solidFill>
                  <a:srgbClr val="FFFFFF"/>
                </a:solidFill>
                <a:ln w="317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nvGrpSpPr>
                <xdr:cNvPr id="248" name="Group 247"/>
                <xdr:cNvGrpSpPr/>
              </xdr:nvGrpSpPr>
              <xdr:grpSpPr>
                <a:xfrm>
                  <a:off x="7791450" y="9608820"/>
                  <a:ext cx="1454150" cy="407670"/>
                  <a:chOff x="7791450" y="9608820"/>
                  <a:chExt cx="1454150" cy="407670"/>
                </a:xfrm>
              </xdr:grpSpPr>
              <xdr:cxnSp macro="">
                <xdr:nvCxnSpPr>
                  <xdr:cNvPr id="249" name="Straight Connector 248"/>
                  <xdr:cNvCxnSpPr/>
                </xdr:nvCxnSpPr>
                <xdr:spPr bwMode="auto">
                  <a:xfrm>
                    <a:off x="7799070" y="9608820"/>
                    <a:ext cx="144399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250" name="Straight Connector 249"/>
                  <xdr:cNvCxnSpPr/>
                </xdr:nvCxnSpPr>
                <xdr:spPr bwMode="auto">
                  <a:xfrm>
                    <a:off x="7795260" y="9743440"/>
                    <a:ext cx="144780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251" name="Straight Connector 250"/>
                  <xdr:cNvCxnSpPr/>
                </xdr:nvCxnSpPr>
                <xdr:spPr bwMode="auto">
                  <a:xfrm>
                    <a:off x="7791450" y="9871710"/>
                    <a:ext cx="145161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252" name="Straight Connector 251"/>
                  <xdr:cNvCxnSpPr/>
                </xdr:nvCxnSpPr>
                <xdr:spPr bwMode="auto">
                  <a:xfrm>
                    <a:off x="7795260" y="10012680"/>
                    <a:ext cx="145034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253" name="Straight Connector 252"/>
                  <xdr:cNvCxnSpPr/>
                </xdr:nvCxnSpPr>
                <xdr:spPr bwMode="auto">
                  <a:xfrm>
                    <a:off x="9243060" y="9612630"/>
                    <a:ext cx="0" cy="40386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grpSp>
          </xdr:grpSp>
        </xdr:grpSp>
        <xdr:cxnSp macro="">
          <xdr:nvCxnSpPr>
            <xdr:cNvPr id="241" name="Straight Arrow Connector 240"/>
            <xdr:cNvCxnSpPr>
              <a:endCxn id="247" idx="0"/>
            </xdr:cNvCxnSpPr>
          </xdr:nvCxnSpPr>
          <xdr:spPr bwMode="auto">
            <a:xfrm flipH="1">
              <a:off x="8559800" y="9605010"/>
              <a:ext cx="10160" cy="624840"/>
            </a:xfrm>
            <a:prstGeom prst="straightConnector1">
              <a:avLst/>
            </a:prstGeom>
            <a:solidFill>
              <a:srgbClr val="FFFFFF"/>
            </a:solidFill>
            <a:ln w="3175" cap="flat" cmpd="sng" algn="ctr">
              <a:solidFill>
                <a:srgbClr val="000000"/>
              </a:solidFill>
              <a:prstDash val="solid"/>
              <a:round/>
              <a:headEnd type="triangle"/>
              <a:tailEnd type="triangle"/>
            </a:ln>
            <a:effectLst/>
          </xdr:spPr>
        </xdr:cxnSp>
      </xdr:grpSp>
    </xdr:grpSp>
    <xdr:clientData/>
  </xdr:twoCellAnchor>
  <xdr:twoCellAnchor>
    <xdr:from>
      <xdr:col>10</xdr:col>
      <xdr:colOff>149860</xdr:colOff>
      <xdr:row>43</xdr:row>
      <xdr:rowOff>91005</xdr:rowOff>
    </xdr:from>
    <xdr:to>
      <xdr:col>11</xdr:col>
      <xdr:colOff>231140</xdr:colOff>
      <xdr:row>43</xdr:row>
      <xdr:rowOff>91440</xdr:rowOff>
    </xdr:to>
    <xdr:cxnSp macro="">
      <xdr:nvCxnSpPr>
        <xdr:cNvPr id="40" name="Straight Connector 39"/>
        <xdr:cNvCxnSpPr>
          <a:stCxn id="3" idx="0"/>
        </xdr:cNvCxnSpPr>
      </xdr:nvCxnSpPr>
      <xdr:spPr bwMode="auto">
        <a:xfrm flipH="1">
          <a:off x="7861300" y="10157025"/>
          <a:ext cx="698500" cy="435"/>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10</xdr:col>
      <xdr:colOff>276860</xdr:colOff>
      <xdr:row>41</xdr:row>
      <xdr:rowOff>149860</xdr:rowOff>
    </xdr:from>
    <xdr:to>
      <xdr:col>10</xdr:col>
      <xdr:colOff>515620</xdr:colOff>
      <xdr:row>42</xdr:row>
      <xdr:rowOff>78461</xdr:rowOff>
    </xdr:to>
    <xdr:sp macro="" textlink="">
      <xdr:nvSpPr>
        <xdr:cNvPr id="264" name="TextBox 263"/>
        <xdr:cNvSpPr txBox="1"/>
      </xdr:nvSpPr>
      <xdr:spPr>
        <a:xfrm>
          <a:off x="7988300" y="9766300"/>
          <a:ext cx="238760" cy="1495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mn-lt"/>
            </a:rPr>
            <a:t>H</a:t>
          </a:r>
          <a:endParaRPr lang="en-US" sz="700" baseline="-25000">
            <a:latin typeface="+mn-lt"/>
          </a:endParaRPr>
        </a:p>
      </xdr:txBody>
    </xdr:sp>
    <xdr:clientData/>
  </xdr:twoCellAnchor>
  <xdr:twoCellAnchor>
    <xdr:from>
      <xdr:col>10</xdr:col>
      <xdr:colOff>80010</xdr:colOff>
      <xdr:row>40</xdr:row>
      <xdr:rowOff>139700</xdr:rowOff>
    </xdr:from>
    <xdr:to>
      <xdr:col>12</xdr:col>
      <xdr:colOff>429260</xdr:colOff>
      <xdr:row>45</xdr:row>
      <xdr:rowOff>95250</xdr:rowOff>
    </xdr:to>
    <xdr:grpSp>
      <xdr:nvGrpSpPr>
        <xdr:cNvPr id="45" name="Group 44"/>
        <xdr:cNvGrpSpPr/>
      </xdr:nvGrpSpPr>
      <xdr:grpSpPr>
        <a:xfrm>
          <a:off x="7652385" y="9569450"/>
          <a:ext cx="1527969" cy="1146175"/>
          <a:chOff x="7791450" y="9527540"/>
          <a:chExt cx="1560830" cy="1212850"/>
        </a:xfrm>
      </xdr:grpSpPr>
      <xdr:grpSp>
        <xdr:nvGrpSpPr>
          <xdr:cNvPr id="35" name="Group 34"/>
          <xdr:cNvGrpSpPr/>
        </xdr:nvGrpSpPr>
        <xdr:grpSpPr>
          <a:xfrm>
            <a:off x="7791450" y="9527540"/>
            <a:ext cx="1560830" cy="1212850"/>
            <a:chOff x="7791450" y="9588500"/>
            <a:chExt cx="1560830" cy="1235710"/>
          </a:xfrm>
        </xdr:grpSpPr>
        <xdr:sp macro="" textlink="">
          <xdr:nvSpPr>
            <xdr:cNvPr id="26" name="TextBox 25"/>
            <xdr:cNvSpPr txBox="1"/>
          </xdr:nvSpPr>
          <xdr:spPr>
            <a:xfrm>
              <a:off x="8280400" y="10441940"/>
              <a:ext cx="645160" cy="200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a:latin typeface="+mn-lt"/>
                </a:rPr>
                <a:t>Flexible</a:t>
              </a:r>
              <a:r>
                <a:rPr lang="en-US" sz="600" b="1" baseline="0">
                  <a:latin typeface="+mn-lt"/>
                </a:rPr>
                <a:t> Pipe</a:t>
              </a:r>
              <a:endParaRPr lang="en-US" sz="600" b="1">
                <a:latin typeface="+mn-lt"/>
              </a:endParaRPr>
            </a:p>
          </xdr:txBody>
        </xdr:sp>
        <xdr:grpSp>
          <xdr:nvGrpSpPr>
            <xdr:cNvPr id="34" name="Group 33"/>
            <xdr:cNvGrpSpPr/>
          </xdr:nvGrpSpPr>
          <xdr:grpSpPr>
            <a:xfrm>
              <a:off x="7791450" y="9588500"/>
              <a:ext cx="1560830" cy="1235710"/>
              <a:chOff x="7791450" y="9588500"/>
              <a:chExt cx="1560830" cy="1235710"/>
            </a:xfrm>
          </xdr:grpSpPr>
          <xdr:sp macro="" textlink="">
            <xdr:nvSpPr>
              <xdr:cNvPr id="217" name="TextBox 216"/>
              <xdr:cNvSpPr txBox="1"/>
            </xdr:nvSpPr>
            <xdr:spPr>
              <a:xfrm>
                <a:off x="8318500" y="9837420"/>
                <a:ext cx="508000"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mn-lt"/>
                  </a:rPr>
                  <a:t>H</a:t>
                </a:r>
                <a:r>
                  <a:rPr lang="en-US" sz="700" baseline="-25000">
                    <a:latin typeface="+mn-lt"/>
                  </a:rPr>
                  <a:t>min</a:t>
                </a:r>
              </a:p>
            </xdr:txBody>
          </xdr:sp>
          <xdr:grpSp>
            <xdr:nvGrpSpPr>
              <xdr:cNvPr id="28" name="Group 27"/>
              <xdr:cNvGrpSpPr/>
            </xdr:nvGrpSpPr>
            <xdr:grpSpPr>
              <a:xfrm>
                <a:off x="7791450" y="9588500"/>
                <a:ext cx="1560830" cy="1235710"/>
                <a:chOff x="7791450" y="9588500"/>
                <a:chExt cx="1560830" cy="1235710"/>
              </a:xfrm>
            </xdr:grpSpPr>
            <xdr:sp macro="" textlink="">
              <xdr:nvSpPr>
                <xdr:cNvPr id="205" name="TextBox 204"/>
                <xdr:cNvSpPr txBox="1"/>
              </xdr:nvSpPr>
              <xdr:spPr>
                <a:xfrm>
                  <a:off x="8542020" y="9588500"/>
                  <a:ext cx="810260" cy="200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a:solidFill>
                        <a:srgbClr val="FF0000"/>
                      </a:solidFill>
                      <a:latin typeface="+mn-lt"/>
                    </a:rPr>
                    <a:t>Flexible</a:t>
                  </a:r>
                  <a:r>
                    <a:rPr lang="en-US" sz="600" b="1" baseline="0">
                      <a:solidFill>
                        <a:srgbClr val="FF0000"/>
                      </a:solidFill>
                      <a:latin typeface="+mn-lt"/>
                    </a:rPr>
                    <a:t> Pavement</a:t>
                  </a:r>
                  <a:endParaRPr lang="en-US" sz="600" b="1">
                    <a:solidFill>
                      <a:srgbClr val="FF0000"/>
                    </a:solidFill>
                    <a:latin typeface="+mn-lt"/>
                  </a:endParaRPr>
                </a:p>
              </xdr:txBody>
            </xdr:sp>
            <xdr:sp macro="" textlink="">
              <xdr:nvSpPr>
                <xdr:cNvPr id="207" name="TextBox 206"/>
                <xdr:cNvSpPr txBox="1"/>
              </xdr:nvSpPr>
              <xdr:spPr>
                <a:xfrm>
                  <a:off x="8663940" y="9715500"/>
                  <a:ext cx="594360" cy="1549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a:latin typeface="+mn-lt"/>
                    </a:rPr>
                    <a:t>Base Course</a:t>
                  </a:r>
                </a:p>
              </xdr:txBody>
            </xdr:sp>
            <xdr:sp macro="" textlink="">
              <xdr:nvSpPr>
                <xdr:cNvPr id="209" name="TextBox 208"/>
                <xdr:cNvSpPr txBox="1"/>
              </xdr:nvSpPr>
              <xdr:spPr>
                <a:xfrm>
                  <a:off x="8714740" y="9855200"/>
                  <a:ext cx="508000"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a:latin typeface="+mn-lt"/>
                    </a:rPr>
                    <a:t>Subbase</a:t>
                  </a:r>
                </a:p>
              </xdr:txBody>
            </xdr:sp>
            <xdr:grpSp>
              <xdr:nvGrpSpPr>
                <xdr:cNvPr id="27" name="Group 26"/>
                <xdr:cNvGrpSpPr/>
              </xdr:nvGrpSpPr>
              <xdr:grpSpPr>
                <a:xfrm>
                  <a:off x="7791450" y="9608820"/>
                  <a:ext cx="1454150" cy="1215390"/>
                  <a:chOff x="7791450" y="9608820"/>
                  <a:chExt cx="1454150" cy="1215390"/>
                </a:xfrm>
              </xdr:grpSpPr>
              <xdr:cxnSp macro="">
                <xdr:nvCxnSpPr>
                  <xdr:cNvPr id="202" name="Straight Connector 201"/>
                  <xdr:cNvCxnSpPr/>
                </xdr:nvCxnSpPr>
                <xdr:spPr bwMode="auto">
                  <a:xfrm>
                    <a:off x="7797800" y="9611360"/>
                    <a:ext cx="0" cy="40386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sp macro="" textlink="">
                <xdr:nvSpPr>
                  <xdr:cNvPr id="3" name="Donut 2"/>
                  <xdr:cNvSpPr/>
                </xdr:nvSpPr>
                <xdr:spPr bwMode="auto">
                  <a:xfrm>
                    <a:off x="8262620" y="10229850"/>
                    <a:ext cx="594360" cy="594360"/>
                  </a:xfrm>
                  <a:prstGeom prst="donut">
                    <a:avLst>
                      <a:gd name="adj" fmla="val 7426"/>
                    </a:avLst>
                  </a:prstGeom>
                  <a:solidFill>
                    <a:srgbClr val="FFFFFF"/>
                  </a:solidFill>
                  <a:ln w="317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nvGrpSpPr>
                  <xdr:cNvPr id="19" name="Group 18"/>
                  <xdr:cNvGrpSpPr/>
                </xdr:nvGrpSpPr>
                <xdr:grpSpPr>
                  <a:xfrm>
                    <a:off x="7791450" y="9608820"/>
                    <a:ext cx="1454150" cy="407670"/>
                    <a:chOff x="7791450" y="9608820"/>
                    <a:chExt cx="1454150" cy="407670"/>
                  </a:xfrm>
                </xdr:grpSpPr>
                <xdr:cxnSp macro="">
                  <xdr:nvCxnSpPr>
                    <xdr:cNvPr id="7" name="Straight Connector 6"/>
                    <xdr:cNvCxnSpPr/>
                  </xdr:nvCxnSpPr>
                  <xdr:spPr bwMode="auto">
                    <a:xfrm>
                      <a:off x="7799070" y="9608820"/>
                      <a:ext cx="144399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190" name="Straight Connector 189"/>
                    <xdr:cNvCxnSpPr/>
                  </xdr:nvCxnSpPr>
                  <xdr:spPr bwMode="auto">
                    <a:xfrm>
                      <a:off x="7795260" y="9743440"/>
                      <a:ext cx="144780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191" name="Straight Connector 190"/>
                    <xdr:cNvCxnSpPr/>
                  </xdr:nvCxnSpPr>
                  <xdr:spPr bwMode="auto">
                    <a:xfrm>
                      <a:off x="7791450" y="9871710"/>
                      <a:ext cx="145161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193" name="Straight Connector 192"/>
                    <xdr:cNvCxnSpPr/>
                  </xdr:nvCxnSpPr>
                  <xdr:spPr bwMode="auto">
                    <a:xfrm>
                      <a:off x="7795260" y="10012680"/>
                      <a:ext cx="145034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18" name="Straight Connector 17"/>
                    <xdr:cNvCxnSpPr/>
                  </xdr:nvCxnSpPr>
                  <xdr:spPr bwMode="auto">
                    <a:xfrm>
                      <a:off x="9243060" y="9612630"/>
                      <a:ext cx="0" cy="40386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grpSp>
            </xdr:grpSp>
          </xdr:grpSp>
          <xdr:cxnSp macro="">
            <xdr:nvCxnSpPr>
              <xdr:cNvPr id="30" name="Straight Arrow Connector 29"/>
              <xdr:cNvCxnSpPr>
                <a:endCxn id="3" idx="0"/>
              </xdr:cNvCxnSpPr>
            </xdr:nvCxnSpPr>
            <xdr:spPr bwMode="auto">
              <a:xfrm flipH="1">
                <a:off x="8559800" y="9740900"/>
                <a:ext cx="10160" cy="488950"/>
              </a:xfrm>
              <a:prstGeom prst="straightConnector1">
                <a:avLst/>
              </a:prstGeom>
              <a:solidFill>
                <a:srgbClr val="FFFFFF"/>
              </a:solidFill>
              <a:ln w="3175" cap="flat" cmpd="sng" algn="ctr">
                <a:solidFill>
                  <a:srgbClr val="000000"/>
                </a:solidFill>
                <a:prstDash val="solid"/>
                <a:round/>
                <a:headEnd type="triangle"/>
                <a:tailEnd type="triangle"/>
              </a:ln>
              <a:effectLst/>
            </xdr:spPr>
          </xdr:cxnSp>
        </xdr:grpSp>
      </xdr:grpSp>
      <xdr:cxnSp macro="">
        <xdr:nvCxnSpPr>
          <xdr:cNvPr id="261" name="Straight Arrow Connector 260"/>
          <xdr:cNvCxnSpPr/>
        </xdr:nvCxnSpPr>
        <xdr:spPr bwMode="auto">
          <a:xfrm flipH="1">
            <a:off x="8168640" y="9547860"/>
            <a:ext cx="12700" cy="609445"/>
          </a:xfrm>
          <a:prstGeom prst="straightConnector1">
            <a:avLst/>
          </a:prstGeom>
          <a:solidFill>
            <a:srgbClr val="FFFFFF"/>
          </a:solidFill>
          <a:ln w="3175" cap="flat" cmpd="sng" algn="ctr">
            <a:solidFill>
              <a:srgbClr val="000000"/>
            </a:solidFill>
            <a:prstDash val="solid"/>
            <a:round/>
            <a:headEnd type="triangle"/>
            <a:tailEnd type="triangle"/>
          </a:ln>
          <a:effec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279652</xdr:colOff>
      <xdr:row>124</xdr:row>
      <xdr:rowOff>0</xdr:rowOff>
    </xdr:from>
    <xdr:to>
      <xdr:col>1</xdr:col>
      <xdr:colOff>161515</xdr:colOff>
      <xdr:row>124</xdr:row>
      <xdr:rowOff>0</xdr:rowOff>
    </xdr:to>
    <xdr:sp macro="" textlink="">
      <xdr:nvSpPr>
        <xdr:cNvPr id="37" name="TextBox 36"/>
        <xdr:cNvSpPr txBox="1"/>
      </xdr:nvSpPr>
      <xdr:spPr>
        <a:xfrm rot="1997822">
          <a:off x="279652" y="19585302"/>
          <a:ext cx="826743" cy="229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 L</a:t>
          </a:r>
          <a:r>
            <a:rPr lang="en-US" sz="700" baseline="-25000"/>
            <a:t>T</a:t>
          </a:r>
          <a:r>
            <a:rPr lang="en-US" sz="700" baseline="0"/>
            <a:t> + </a:t>
          </a:r>
          <a:r>
            <a:rPr lang="el-GR" sz="700" baseline="0">
              <a:latin typeface="Calibri"/>
            </a:rPr>
            <a:t>φ</a:t>
          </a:r>
          <a:r>
            <a:rPr lang="en-US" sz="700" baseline="-25000">
              <a:latin typeface="Calibri"/>
            </a:rPr>
            <a:t>E</a:t>
          </a:r>
          <a:r>
            <a:rPr lang="en-US" sz="700" baseline="0"/>
            <a:t>H</a:t>
          </a:r>
        </a:p>
      </xdr:txBody>
    </xdr:sp>
    <xdr:clientData/>
  </xdr:twoCellAnchor>
  <xdr:twoCellAnchor>
    <xdr:from>
      <xdr:col>1</xdr:col>
      <xdr:colOff>58237</xdr:colOff>
      <xdr:row>112</xdr:row>
      <xdr:rowOff>210092</xdr:rowOff>
    </xdr:from>
    <xdr:to>
      <xdr:col>1</xdr:col>
      <xdr:colOff>1596390</xdr:colOff>
      <xdr:row>113</xdr:row>
      <xdr:rowOff>0</xdr:rowOff>
    </xdr:to>
    <xdr:sp macro="" textlink="">
      <xdr:nvSpPr>
        <xdr:cNvPr id="54" name="TextBox 53"/>
        <xdr:cNvSpPr txBox="1"/>
      </xdr:nvSpPr>
      <xdr:spPr>
        <a:xfrm>
          <a:off x="1003117" y="25340852"/>
          <a:ext cx="1538153" cy="285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Wheel Load P, </a:t>
          </a:r>
          <a:r>
            <a:rPr lang="en-US" sz="700" b="1" baseline="0"/>
            <a:t>P</a:t>
          </a:r>
          <a:r>
            <a:rPr lang="en-US" sz="700" baseline="0"/>
            <a:t>=1/2  Axle Load </a:t>
          </a: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70</xdr:row>
          <xdr:rowOff>95250</xdr:rowOff>
        </xdr:from>
        <xdr:to>
          <xdr:col>3</xdr:col>
          <xdr:colOff>247650</xdr:colOff>
          <xdr:row>72</xdr:row>
          <xdr:rowOff>104775</xdr:rowOff>
        </xdr:to>
        <xdr:sp macro="" textlink="">
          <xdr:nvSpPr>
            <xdr:cNvPr id="11274" name="Object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72</xdr:row>
          <xdr:rowOff>95250</xdr:rowOff>
        </xdr:from>
        <xdr:to>
          <xdr:col>3</xdr:col>
          <xdr:colOff>142875</xdr:colOff>
          <xdr:row>74</xdr:row>
          <xdr:rowOff>76200</xdr:rowOff>
        </xdr:to>
        <xdr:sp macro="" textlink="">
          <xdr:nvSpPr>
            <xdr:cNvPr id="11275" name="Object 11" hidden="1">
              <a:extLst>
                <a:ext uri="{63B3BB69-23CF-44E3-9099-C40C66FF867C}">
                  <a14:compatExt spid="_x0000_s1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74</xdr:row>
          <xdr:rowOff>114300</xdr:rowOff>
        </xdr:from>
        <xdr:to>
          <xdr:col>5</xdr:col>
          <xdr:colOff>114300</xdr:colOff>
          <xdr:row>76</xdr:row>
          <xdr:rowOff>57150</xdr:rowOff>
        </xdr:to>
        <xdr:sp macro="" textlink="">
          <xdr:nvSpPr>
            <xdr:cNvPr id="11278" name="Object 14" hidden="1">
              <a:extLst>
                <a:ext uri="{63B3BB69-23CF-44E3-9099-C40C66FF867C}">
                  <a14:compatExt spid="_x0000_s11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183</xdr:row>
          <xdr:rowOff>219075</xdr:rowOff>
        </xdr:from>
        <xdr:to>
          <xdr:col>2</xdr:col>
          <xdr:colOff>523875</xdr:colOff>
          <xdr:row>185</xdr:row>
          <xdr:rowOff>152400</xdr:rowOff>
        </xdr:to>
        <xdr:sp macro="" textlink="">
          <xdr:nvSpPr>
            <xdr:cNvPr id="11343" name="Object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187</xdr:row>
          <xdr:rowOff>0</xdr:rowOff>
        </xdr:from>
        <xdr:to>
          <xdr:col>2</xdr:col>
          <xdr:colOff>28575</xdr:colOff>
          <xdr:row>189</xdr:row>
          <xdr:rowOff>0</xdr:rowOff>
        </xdr:to>
        <xdr:sp macro="" textlink="">
          <xdr:nvSpPr>
            <xdr:cNvPr id="11344" name="Object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771525</xdr:colOff>
          <xdr:row>189</xdr:row>
          <xdr:rowOff>19050</xdr:rowOff>
        </xdr:from>
        <xdr:to>
          <xdr:col>3</xdr:col>
          <xdr:colOff>390525</xdr:colOff>
          <xdr:row>190</xdr:row>
          <xdr:rowOff>19050</xdr:rowOff>
        </xdr:to>
        <xdr:sp macro="" textlink="">
          <xdr:nvSpPr>
            <xdr:cNvPr id="11345" name="Object 81" hidden="1">
              <a:extLst>
                <a:ext uri="{63B3BB69-23CF-44E3-9099-C40C66FF867C}">
                  <a14:compatExt spid="_x0000_s1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209</xdr:row>
          <xdr:rowOff>190500</xdr:rowOff>
        </xdr:from>
        <xdr:to>
          <xdr:col>1</xdr:col>
          <xdr:colOff>1057275</xdr:colOff>
          <xdr:row>211</xdr:row>
          <xdr:rowOff>142875</xdr:rowOff>
        </xdr:to>
        <xdr:sp macro="" textlink="">
          <xdr:nvSpPr>
            <xdr:cNvPr id="11348" name="Object 84" hidden="1">
              <a:extLst>
                <a:ext uri="{63B3BB69-23CF-44E3-9099-C40C66FF867C}">
                  <a14:compatExt spid="_x0000_s1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866775</xdr:colOff>
          <xdr:row>207</xdr:row>
          <xdr:rowOff>9525</xdr:rowOff>
        </xdr:from>
        <xdr:to>
          <xdr:col>2</xdr:col>
          <xdr:colOff>476250</xdr:colOff>
          <xdr:row>209</xdr:row>
          <xdr:rowOff>19050</xdr:rowOff>
        </xdr:to>
        <xdr:sp macro="" textlink="">
          <xdr:nvSpPr>
            <xdr:cNvPr id="11349" name="Object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796075</xdr:colOff>
      <xdr:row>116</xdr:row>
      <xdr:rowOff>146925</xdr:rowOff>
    </xdr:from>
    <xdr:to>
      <xdr:col>1</xdr:col>
      <xdr:colOff>582715</xdr:colOff>
      <xdr:row>118</xdr:row>
      <xdr:rowOff>55485</xdr:rowOff>
    </xdr:to>
    <xdr:sp macro="" textlink="">
      <xdr:nvSpPr>
        <xdr:cNvPr id="135" name="Flowchart: Data 134"/>
        <xdr:cNvSpPr/>
      </xdr:nvSpPr>
      <xdr:spPr bwMode="auto">
        <a:xfrm rot="19739516" flipH="1">
          <a:off x="796075" y="23578425"/>
          <a:ext cx="662940" cy="274320"/>
        </a:xfrm>
        <a:prstGeom prst="flowChartInputOutpu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3000000" scaled="0"/>
        </a:gra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0</xdr:col>
      <xdr:colOff>682152</xdr:colOff>
      <xdr:row>118</xdr:row>
      <xdr:rowOff>172217</xdr:rowOff>
    </xdr:from>
    <xdr:to>
      <xdr:col>1</xdr:col>
      <xdr:colOff>1017432</xdr:colOff>
      <xdr:row>121</xdr:row>
      <xdr:rowOff>172217</xdr:rowOff>
    </xdr:to>
    <xdr:sp macro="" textlink="">
      <xdr:nvSpPr>
        <xdr:cNvPr id="136" name="Flowchart: Data 135"/>
        <xdr:cNvSpPr/>
      </xdr:nvSpPr>
      <xdr:spPr bwMode="auto">
        <a:xfrm rot="19739516" flipH="1">
          <a:off x="682152" y="23969477"/>
          <a:ext cx="1211580" cy="548640"/>
        </a:xfrm>
        <a:prstGeom prst="flowChartInputOutpu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0</xdr:col>
      <xdr:colOff>773974</xdr:colOff>
      <xdr:row>116</xdr:row>
      <xdr:rowOff>69668</xdr:rowOff>
    </xdr:from>
    <xdr:to>
      <xdr:col>1</xdr:col>
      <xdr:colOff>166279</xdr:colOff>
      <xdr:row>117</xdr:row>
      <xdr:rowOff>98243</xdr:rowOff>
    </xdr:to>
    <xdr:cxnSp macro="">
      <xdr:nvCxnSpPr>
        <xdr:cNvPr id="137" name="Straight Arrow Connector 136"/>
        <xdr:cNvCxnSpPr/>
      </xdr:nvCxnSpPr>
      <xdr:spPr bwMode="auto">
        <a:xfrm>
          <a:off x="773974" y="23501168"/>
          <a:ext cx="268605" cy="211455"/>
        </a:xfrm>
        <a:prstGeom prst="straightConnector1">
          <a:avLst/>
        </a:prstGeom>
        <a:solidFill>
          <a:srgbClr val="FFFFFF"/>
        </a:solidFill>
        <a:ln w="3175" cap="flat" cmpd="sng" algn="ctr">
          <a:solidFill>
            <a:srgbClr val="000000"/>
          </a:solidFill>
          <a:prstDash val="solid"/>
          <a:round/>
          <a:headEnd type="stealth" w="med" len="med"/>
          <a:tailEnd type="stealth"/>
        </a:ln>
        <a:effectLst/>
      </xdr:spPr>
    </xdr:cxnSp>
    <xdr:clientData/>
  </xdr:twoCellAnchor>
  <xdr:twoCellAnchor>
    <xdr:from>
      <xdr:col>0</xdr:col>
      <xdr:colOff>628650</xdr:colOff>
      <xdr:row>117</xdr:row>
      <xdr:rowOff>152400</xdr:rowOff>
    </xdr:from>
    <xdr:to>
      <xdr:col>0</xdr:col>
      <xdr:colOff>776288</xdr:colOff>
      <xdr:row>120</xdr:row>
      <xdr:rowOff>157162</xdr:rowOff>
    </xdr:to>
    <xdr:cxnSp macro="">
      <xdr:nvCxnSpPr>
        <xdr:cNvPr id="138" name="Straight Connector 137"/>
        <xdr:cNvCxnSpPr/>
      </xdr:nvCxnSpPr>
      <xdr:spPr bwMode="auto">
        <a:xfrm flipH="1">
          <a:off x="628650" y="23766780"/>
          <a:ext cx="147638" cy="553402"/>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147638</xdr:colOff>
      <xdr:row>118</xdr:row>
      <xdr:rowOff>142878</xdr:rowOff>
    </xdr:from>
    <xdr:to>
      <xdr:col>1</xdr:col>
      <xdr:colOff>238125</xdr:colOff>
      <xdr:row>122</xdr:row>
      <xdr:rowOff>142875</xdr:rowOff>
    </xdr:to>
    <xdr:cxnSp macro="">
      <xdr:nvCxnSpPr>
        <xdr:cNvPr id="139" name="Straight Connector 138"/>
        <xdr:cNvCxnSpPr/>
      </xdr:nvCxnSpPr>
      <xdr:spPr bwMode="auto">
        <a:xfrm>
          <a:off x="1023938" y="23940138"/>
          <a:ext cx="90487" cy="731517"/>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342903</xdr:colOff>
      <xdr:row>116</xdr:row>
      <xdr:rowOff>45723</xdr:rowOff>
    </xdr:from>
    <xdr:to>
      <xdr:col>1</xdr:col>
      <xdr:colOff>571501</xdr:colOff>
      <xdr:row>117</xdr:row>
      <xdr:rowOff>179069</xdr:rowOff>
    </xdr:to>
    <xdr:cxnSp macro="">
      <xdr:nvCxnSpPr>
        <xdr:cNvPr id="141" name="Straight Connector 140"/>
        <xdr:cNvCxnSpPr/>
      </xdr:nvCxnSpPr>
      <xdr:spPr bwMode="auto">
        <a:xfrm rot="16200000" flipH="1">
          <a:off x="1175389" y="23521037"/>
          <a:ext cx="316226" cy="228598"/>
        </a:xfrm>
        <a:prstGeom prst="line">
          <a:avLst/>
        </a:prstGeom>
        <a:solidFill>
          <a:srgbClr val="FFFFFF"/>
        </a:solidFill>
        <a:ln w="3175" cap="flat" cmpd="sng" algn="ctr">
          <a:solidFill>
            <a:srgbClr val="000000"/>
          </a:solidFill>
          <a:prstDash val="dash"/>
          <a:round/>
          <a:headEnd type="none" w="med" len="med"/>
          <a:tailEnd type="none" w="med" len="med"/>
        </a:ln>
        <a:effectLst/>
      </xdr:spPr>
    </xdr:cxnSp>
    <xdr:clientData/>
  </xdr:twoCellAnchor>
  <xdr:twoCellAnchor>
    <xdr:from>
      <xdr:col>1</xdr:col>
      <xdr:colOff>600075</xdr:colOff>
      <xdr:row>117</xdr:row>
      <xdr:rowOff>42862</xdr:rowOff>
    </xdr:from>
    <xdr:to>
      <xdr:col>1</xdr:col>
      <xdr:colOff>1057275</xdr:colOff>
      <xdr:row>120</xdr:row>
      <xdr:rowOff>0</xdr:rowOff>
    </xdr:to>
    <xdr:cxnSp macro="">
      <xdr:nvCxnSpPr>
        <xdr:cNvPr id="142" name="Straight Connector 141"/>
        <xdr:cNvCxnSpPr/>
      </xdr:nvCxnSpPr>
      <xdr:spPr bwMode="auto">
        <a:xfrm>
          <a:off x="1476375" y="23657242"/>
          <a:ext cx="457200" cy="505778"/>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464256</xdr:colOff>
      <xdr:row>116</xdr:row>
      <xdr:rowOff>166775</xdr:rowOff>
    </xdr:from>
    <xdr:to>
      <xdr:col>1</xdr:col>
      <xdr:colOff>441139</xdr:colOff>
      <xdr:row>118</xdr:row>
      <xdr:rowOff>3471</xdr:rowOff>
    </xdr:to>
    <xdr:sp macro="" textlink="">
      <xdr:nvSpPr>
        <xdr:cNvPr id="143" name="TextBox 142"/>
        <xdr:cNvSpPr txBox="1"/>
      </xdr:nvSpPr>
      <xdr:spPr>
        <a:xfrm rot="1882380">
          <a:off x="464256" y="23598275"/>
          <a:ext cx="853183" cy="20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spc="0" baseline="0"/>
            <a:t>Direction of Travel</a:t>
          </a:r>
        </a:p>
      </xdr:txBody>
    </xdr:sp>
    <xdr:clientData/>
  </xdr:twoCellAnchor>
  <xdr:twoCellAnchor>
    <xdr:from>
      <xdr:col>0</xdr:col>
      <xdr:colOff>415290</xdr:colOff>
      <xdr:row>116</xdr:row>
      <xdr:rowOff>103916</xdr:rowOff>
    </xdr:from>
    <xdr:to>
      <xdr:col>0</xdr:col>
      <xdr:colOff>754380</xdr:colOff>
      <xdr:row>117</xdr:row>
      <xdr:rowOff>156211</xdr:rowOff>
    </xdr:to>
    <xdr:cxnSp macro="">
      <xdr:nvCxnSpPr>
        <xdr:cNvPr id="144" name="Straight Connector 143"/>
        <xdr:cNvCxnSpPr/>
      </xdr:nvCxnSpPr>
      <xdr:spPr bwMode="auto">
        <a:xfrm rot="10800000">
          <a:off x="415290" y="23535416"/>
          <a:ext cx="339090" cy="235175"/>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902970</xdr:colOff>
      <xdr:row>114</xdr:row>
      <xdr:rowOff>158116</xdr:rowOff>
    </xdr:from>
    <xdr:to>
      <xdr:col>1</xdr:col>
      <xdr:colOff>312420</xdr:colOff>
      <xdr:row>116</xdr:row>
      <xdr:rowOff>38101</xdr:rowOff>
    </xdr:to>
    <xdr:cxnSp macro="">
      <xdr:nvCxnSpPr>
        <xdr:cNvPr id="145" name="Straight Connector 144"/>
        <xdr:cNvCxnSpPr/>
      </xdr:nvCxnSpPr>
      <xdr:spPr bwMode="auto">
        <a:xfrm rot="10800000">
          <a:off x="872490" y="23223856"/>
          <a:ext cx="316230" cy="245745"/>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461010</xdr:colOff>
      <xdr:row>115</xdr:row>
      <xdr:rowOff>11430</xdr:rowOff>
    </xdr:from>
    <xdr:to>
      <xdr:col>1</xdr:col>
      <xdr:colOff>3810</xdr:colOff>
      <xdr:row>116</xdr:row>
      <xdr:rowOff>133350</xdr:rowOff>
    </xdr:to>
    <xdr:cxnSp macro="">
      <xdr:nvCxnSpPr>
        <xdr:cNvPr id="147" name="Straight Arrow Connector 146"/>
        <xdr:cNvCxnSpPr/>
      </xdr:nvCxnSpPr>
      <xdr:spPr bwMode="auto">
        <a:xfrm flipV="1">
          <a:off x="461010" y="23260050"/>
          <a:ext cx="419100" cy="304800"/>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0</xdr:col>
      <xdr:colOff>457198</xdr:colOff>
      <xdr:row>114</xdr:row>
      <xdr:rowOff>152400</xdr:rowOff>
    </xdr:from>
    <xdr:to>
      <xdr:col>0</xdr:col>
      <xdr:colOff>868678</xdr:colOff>
      <xdr:row>115</xdr:row>
      <xdr:rowOff>156210</xdr:rowOff>
    </xdr:to>
    <xdr:sp macro="" textlink="">
      <xdr:nvSpPr>
        <xdr:cNvPr id="148" name="TextBox 147"/>
        <xdr:cNvSpPr txBox="1"/>
      </xdr:nvSpPr>
      <xdr:spPr>
        <a:xfrm rot="19712504">
          <a:off x="457198" y="23218140"/>
          <a:ext cx="411480" cy="186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T</a:t>
          </a:r>
        </a:p>
      </xdr:txBody>
    </xdr:sp>
    <xdr:clientData/>
  </xdr:twoCellAnchor>
  <xdr:twoCellAnchor>
    <xdr:from>
      <xdr:col>1</xdr:col>
      <xdr:colOff>213360</xdr:colOff>
      <xdr:row>122</xdr:row>
      <xdr:rowOff>172498</xdr:rowOff>
    </xdr:from>
    <xdr:to>
      <xdr:col>1</xdr:col>
      <xdr:colOff>381000</xdr:colOff>
      <xdr:row>123</xdr:row>
      <xdr:rowOff>106681</xdr:rowOff>
    </xdr:to>
    <xdr:cxnSp macro="">
      <xdr:nvCxnSpPr>
        <xdr:cNvPr id="149" name="Straight Connector 148"/>
        <xdr:cNvCxnSpPr/>
      </xdr:nvCxnSpPr>
      <xdr:spPr bwMode="auto">
        <a:xfrm rot="10800000">
          <a:off x="1089660" y="24701278"/>
          <a:ext cx="167640" cy="117063"/>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1097280</xdr:colOff>
      <xdr:row>119</xdr:row>
      <xdr:rowOff>177169</xdr:rowOff>
    </xdr:from>
    <xdr:to>
      <xdr:col>1</xdr:col>
      <xdr:colOff>1257300</xdr:colOff>
      <xdr:row>120</xdr:row>
      <xdr:rowOff>110491</xdr:rowOff>
    </xdr:to>
    <xdr:cxnSp macro="">
      <xdr:nvCxnSpPr>
        <xdr:cNvPr id="150" name="Straight Connector 149"/>
        <xdr:cNvCxnSpPr/>
      </xdr:nvCxnSpPr>
      <xdr:spPr bwMode="auto">
        <a:xfrm rot="10800000">
          <a:off x="1973580" y="24157309"/>
          <a:ext cx="76200" cy="116202"/>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297180</xdr:colOff>
      <xdr:row>120</xdr:row>
      <xdr:rowOff>49530</xdr:rowOff>
    </xdr:from>
    <xdr:to>
      <xdr:col>1</xdr:col>
      <xdr:colOff>1169670</xdr:colOff>
      <xdr:row>123</xdr:row>
      <xdr:rowOff>45720</xdr:rowOff>
    </xdr:to>
    <xdr:cxnSp macro="">
      <xdr:nvCxnSpPr>
        <xdr:cNvPr id="151" name="Straight Arrow Connector 150"/>
        <xdr:cNvCxnSpPr/>
      </xdr:nvCxnSpPr>
      <xdr:spPr bwMode="auto">
        <a:xfrm flipV="1">
          <a:off x="1173480" y="24212550"/>
          <a:ext cx="872490" cy="544830"/>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1</xdr:col>
      <xdr:colOff>471774</xdr:colOff>
      <xdr:row>121</xdr:row>
      <xdr:rowOff>68490</xdr:rowOff>
    </xdr:from>
    <xdr:to>
      <xdr:col>1</xdr:col>
      <xdr:colOff>1307033</xdr:colOff>
      <xdr:row>122</xdr:row>
      <xdr:rowOff>72300</xdr:rowOff>
    </xdr:to>
    <xdr:sp macro="" textlink="">
      <xdr:nvSpPr>
        <xdr:cNvPr id="158" name="TextBox 157"/>
        <xdr:cNvSpPr txBox="1"/>
      </xdr:nvSpPr>
      <xdr:spPr>
        <a:xfrm rot="19680661">
          <a:off x="1348074" y="24414390"/>
          <a:ext cx="698099" cy="186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a:t>W</a:t>
          </a:r>
          <a:r>
            <a:rPr lang="en-US" sz="700" baseline="-25000"/>
            <a:t>D</a:t>
          </a:r>
          <a:r>
            <a:rPr lang="en-US" sz="700" baseline="0"/>
            <a:t>= W</a:t>
          </a:r>
          <a:r>
            <a:rPr lang="en-US" sz="700" baseline="-25000"/>
            <a:t>T</a:t>
          </a:r>
          <a:r>
            <a:rPr lang="en-US" sz="700" baseline="0"/>
            <a:t>+ </a:t>
          </a:r>
          <a:r>
            <a:rPr lang="el-GR" sz="700" baseline="0">
              <a:latin typeface="Calibri"/>
            </a:rPr>
            <a:t>φ</a:t>
          </a:r>
          <a:r>
            <a:rPr lang="en-US" sz="700" baseline="-25000">
              <a:latin typeface="Calibri"/>
            </a:rPr>
            <a:t>E</a:t>
          </a:r>
          <a:r>
            <a:rPr lang="en-US" sz="700" baseline="0"/>
            <a:t>H</a:t>
          </a:r>
        </a:p>
      </xdr:txBody>
    </xdr:sp>
    <xdr:clientData/>
  </xdr:twoCellAnchor>
  <xdr:twoCellAnchor>
    <xdr:from>
      <xdr:col>1</xdr:col>
      <xdr:colOff>351064</xdr:colOff>
      <xdr:row>115</xdr:row>
      <xdr:rowOff>114844</xdr:rowOff>
    </xdr:from>
    <xdr:to>
      <xdr:col>1</xdr:col>
      <xdr:colOff>535469</xdr:colOff>
      <xdr:row>116</xdr:row>
      <xdr:rowOff>38644</xdr:rowOff>
    </xdr:to>
    <xdr:cxnSp macro="">
      <xdr:nvCxnSpPr>
        <xdr:cNvPr id="159" name="Straight Connector 158"/>
        <xdr:cNvCxnSpPr/>
      </xdr:nvCxnSpPr>
      <xdr:spPr bwMode="auto">
        <a:xfrm flipV="1">
          <a:off x="1227364" y="23363464"/>
          <a:ext cx="184405" cy="10668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625384</xdr:colOff>
      <xdr:row>116</xdr:row>
      <xdr:rowOff>92119</xdr:rowOff>
    </xdr:from>
    <xdr:to>
      <xdr:col>1</xdr:col>
      <xdr:colOff>803910</xdr:colOff>
      <xdr:row>117</xdr:row>
      <xdr:rowOff>12518</xdr:rowOff>
    </xdr:to>
    <xdr:cxnSp macro="">
      <xdr:nvCxnSpPr>
        <xdr:cNvPr id="160" name="Straight Connector 159"/>
        <xdr:cNvCxnSpPr/>
      </xdr:nvCxnSpPr>
      <xdr:spPr bwMode="auto">
        <a:xfrm flipV="1">
          <a:off x="1501684" y="23523619"/>
          <a:ext cx="178526" cy="103279"/>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481693</xdr:colOff>
      <xdr:row>115</xdr:row>
      <xdr:rowOff>149134</xdr:rowOff>
    </xdr:from>
    <xdr:to>
      <xdr:col>1</xdr:col>
      <xdr:colOff>753836</xdr:colOff>
      <xdr:row>116</xdr:row>
      <xdr:rowOff>120831</xdr:rowOff>
    </xdr:to>
    <xdr:cxnSp macro="">
      <xdr:nvCxnSpPr>
        <xdr:cNvPr id="161" name="Straight Arrow Connector 160"/>
        <xdr:cNvCxnSpPr/>
      </xdr:nvCxnSpPr>
      <xdr:spPr bwMode="auto">
        <a:xfrm>
          <a:off x="1357993" y="23397754"/>
          <a:ext cx="272143" cy="154577"/>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1</xdr:col>
      <xdr:colOff>489536</xdr:colOff>
      <xdr:row>115</xdr:row>
      <xdr:rowOff>87772</xdr:rowOff>
    </xdr:from>
    <xdr:to>
      <xdr:col>1</xdr:col>
      <xdr:colOff>916876</xdr:colOff>
      <xdr:row>116</xdr:row>
      <xdr:rowOff>134859</xdr:rowOff>
    </xdr:to>
    <xdr:sp macro="" textlink="">
      <xdr:nvSpPr>
        <xdr:cNvPr id="162" name="TextBox 161"/>
        <xdr:cNvSpPr txBox="1"/>
      </xdr:nvSpPr>
      <xdr:spPr>
        <a:xfrm rot="2120571">
          <a:off x="1365836" y="23336392"/>
          <a:ext cx="427340" cy="229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T</a:t>
          </a:r>
        </a:p>
      </xdr:txBody>
    </xdr:sp>
    <xdr:clientData/>
  </xdr:twoCellAnchor>
  <xdr:twoCellAnchor>
    <xdr:from>
      <xdr:col>0</xdr:col>
      <xdr:colOff>403972</xdr:colOff>
      <xdr:row>120</xdr:row>
      <xdr:rowOff>14697</xdr:rowOff>
    </xdr:from>
    <xdr:to>
      <xdr:col>0</xdr:col>
      <xdr:colOff>612867</xdr:colOff>
      <xdr:row>120</xdr:row>
      <xdr:rowOff>159576</xdr:rowOff>
    </xdr:to>
    <xdr:cxnSp macro="">
      <xdr:nvCxnSpPr>
        <xdr:cNvPr id="163" name="Straight Connector 162"/>
        <xdr:cNvCxnSpPr/>
      </xdr:nvCxnSpPr>
      <xdr:spPr bwMode="auto">
        <a:xfrm rot="10800000">
          <a:off x="403972" y="24177717"/>
          <a:ext cx="208895" cy="144879"/>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456951</xdr:colOff>
      <xdr:row>116</xdr:row>
      <xdr:rowOff>135233</xdr:rowOff>
    </xdr:from>
    <xdr:to>
      <xdr:col>0</xdr:col>
      <xdr:colOff>458539</xdr:colOff>
      <xdr:row>120</xdr:row>
      <xdr:rowOff>52501</xdr:rowOff>
    </xdr:to>
    <xdr:cxnSp macro="">
      <xdr:nvCxnSpPr>
        <xdr:cNvPr id="164" name="Straight Arrow Connector 163"/>
        <xdr:cNvCxnSpPr/>
      </xdr:nvCxnSpPr>
      <xdr:spPr bwMode="auto">
        <a:xfrm rot="5400000">
          <a:off x="133351" y="23890333"/>
          <a:ext cx="648788"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0</xdr:col>
      <xdr:colOff>401140</xdr:colOff>
      <xdr:row>118</xdr:row>
      <xdr:rowOff>19050</xdr:rowOff>
    </xdr:from>
    <xdr:to>
      <xdr:col>0</xdr:col>
      <xdr:colOff>592728</xdr:colOff>
      <xdr:row>118</xdr:row>
      <xdr:rowOff>151856</xdr:rowOff>
    </xdr:to>
    <xdr:sp macro="" textlink="">
      <xdr:nvSpPr>
        <xdr:cNvPr id="165" name="TextBox 164"/>
        <xdr:cNvSpPr txBox="1"/>
      </xdr:nvSpPr>
      <xdr:spPr>
        <a:xfrm>
          <a:off x="401140" y="23816310"/>
          <a:ext cx="191588" cy="132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H</a:t>
          </a:r>
        </a:p>
      </xdr:txBody>
    </xdr:sp>
    <xdr:clientData/>
  </xdr:twoCellAnchor>
  <xdr:twoCellAnchor>
    <xdr:from>
      <xdr:col>0</xdr:col>
      <xdr:colOff>425087</xdr:colOff>
      <xdr:row>121</xdr:row>
      <xdr:rowOff>10341</xdr:rowOff>
    </xdr:from>
    <xdr:to>
      <xdr:col>0</xdr:col>
      <xdr:colOff>609492</xdr:colOff>
      <xdr:row>121</xdr:row>
      <xdr:rowOff>117021</xdr:rowOff>
    </xdr:to>
    <xdr:cxnSp macro="">
      <xdr:nvCxnSpPr>
        <xdr:cNvPr id="166" name="Straight Connector 165"/>
        <xdr:cNvCxnSpPr/>
      </xdr:nvCxnSpPr>
      <xdr:spPr bwMode="auto">
        <a:xfrm flipV="1">
          <a:off x="425087" y="24356241"/>
          <a:ext cx="184405" cy="10668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936716</xdr:colOff>
      <xdr:row>122</xdr:row>
      <xdr:rowOff>163964</xdr:rowOff>
    </xdr:from>
    <xdr:to>
      <xdr:col>1</xdr:col>
      <xdr:colOff>170362</xdr:colOff>
      <xdr:row>123</xdr:row>
      <xdr:rowOff>84363</xdr:rowOff>
    </xdr:to>
    <xdr:cxnSp macro="">
      <xdr:nvCxnSpPr>
        <xdr:cNvPr id="167" name="Straight Connector 166"/>
        <xdr:cNvCxnSpPr/>
      </xdr:nvCxnSpPr>
      <xdr:spPr bwMode="auto">
        <a:xfrm flipV="1">
          <a:off x="875756" y="24692744"/>
          <a:ext cx="170906" cy="103279"/>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479516</xdr:colOff>
      <xdr:row>121</xdr:row>
      <xdr:rowOff>82529</xdr:rowOff>
    </xdr:from>
    <xdr:to>
      <xdr:col>1</xdr:col>
      <xdr:colOff>41910</xdr:colOff>
      <xdr:row>123</xdr:row>
      <xdr:rowOff>58237</xdr:rowOff>
    </xdr:to>
    <xdr:cxnSp macro="">
      <xdr:nvCxnSpPr>
        <xdr:cNvPr id="168" name="Straight Arrow Connector 167"/>
        <xdr:cNvCxnSpPr/>
      </xdr:nvCxnSpPr>
      <xdr:spPr bwMode="auto">
        <a:xfrm>
          <a:off x="479516" y="24428429"/>
          <a:ext cx="438694" cy="34146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0</xdr:col>
      <xdr:colOff>279652</xdr:colOff>
      <xdr:row>122</xdr:row>
      <xdr:rowOff>62862</xdr:rowOff>
    </xdr:from>
    <xdr:to>
      <xdr:col>1</xdr:col>
      <xdr:colOff>161515</xdr:colOff>
      <xdr:row>123</xdr:row>
      <xdr:rowOff>109949</xdr:rowOff>
    </xdr:to>
    <xdr:sp macro="" textlink="">
      <xdr:nvSpPr>
        <xdr:cNvPr id="169" name="TextBox 168"/>
        <xdr:cNvSpPr txBox="1"/>
      </xdr:nvSpPr>
      <xdr:spPr>
        <a:xfrm rot="1997822">
          <a:off x="279652" y="24591642"/>
          <a:ext cx="758163" cy="229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 L</a:t>
          </a:r>
          <a:r>
            <a:rPr lang="en-US" sz="700" baseline="-25000"/>
            <a:t>T</a:t>
          </a:r>
          <a:r>
            <a:rPr lang="en-US" sz="700" baseline="0"/>
            <a:t> + </a:t>
          </a:r>
          <a:r>
            <a:rPr lang="el-GR" sz="700" baseline="0">
              <a:latin typeface="Calibri"/>
            </a:rPr>
            <a:t>φ</a:t>
          </a:r>
          <a:r>
            <a:rPr lang="en-US" sz="700" baseline="-25000">
              <a:latin typeface="Calibri"/>
            </a:rPr>
            <a:t>E</a:t>
          </a:r>
          <a:r>
            <a:rPr lang="en-US" sz="700" baseline="0"/>
            <a:t>H</a:t>
          </a:r>
        </a:p>
      </xdr:txBody>
    </xdr:sp>
    <xdr:clientData/>
  </xdr:twoCellAnchor>
  <xdr:twoCellAnchor>
    <xdr:from>
      <xdr:col>1</xdr:col>
      <xdr:colOff>555578</xdr:colOff>
      <xdr:row>123</xdr:row>
      <xdr:rowOff>39868</xdr:rowOff>
    </xdr:from>
    <xdr:to>
      <xdr:col>2</xdr:col>
      <xdr:colOff>342900</xdr:colOff>
      <xdr:row>124</xdr:row>
      <xdr:rowOff>17145</xdr:rowOff>
    </xdr:to>
    <xdr:sp macro="" textlink="">
      <xdr:nvSpPr>
        <xdr:cNvPr id="170" name="TextBox 169"/>
        <xdr:cNvSpPr txBox="1"/>
      </xdr:nvSpPr>
      <xdr:spPr>
        <a:xfrm>
          <a:off x="1431878" y="24751528"/>
          <a:ext cx="960802" cy="26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Distributed Load Area</a:t>
          </a:r>
        </a:p>
      </xdr:txBody>
    </xdr:sp>
    <xdr:clientData/>
  </xdr:twoCellAnchor>
  <xdr:twoCellAnchor>
    <xdr:from>
      <xdr:col>1</xdr:col>
      <xdr:colOff>405458</xdr:colOff>
      <xdr:row>122</xdr:row>
      <xdr:rowOff>45930</xdr:rowOff>
    </xdr:from>
    <xdr:to>
      <xdr:col>1</xdr:col>
      <xdr:colOff>601434</xdr:colOff>
      <xdr:row>123</xdr:row>
      <xdr:rowOff>128997</xdr:rowOff>
    </xdr:to>
    <xdr:cxnSp macro="">
      <xdr:nvCxnSpPr>
        <xdr:cNvPr id="171" name="Straight Arrow Connector 170"/>
        <xdr:cNvCxnSpPr/>
      </xdr:nvCxnSpPr>
      <xdr:spPr bwMode="auto">
        <a:xfrm rot="10800000">
          <a:off x="1281758" y="24574710"/>
          <a:ext cx="195976" cy="265947"/>
        </a:xfrm>
        <a:prstGeom prst="straightConnector1">
          <a:avLst/>
        </a:prstGeom>
        <a:solidFill>
          <a:srgbClr val="FFFFFF"/>
        </a:solidFill>
        <a:ln w="3175" cap="flat" cmpd="sng" algn="ctr">
          <a:solidFill>
            <a:srgbClr val="000000"/>
          </a:solidFill>
          <a:prstDash val="solid"/>
          <a:round/>
          <a:headEnd type="none" w="med" len="med"/>
          <a:tailEnd type="stealth" w="sm" len="sm"/>
        </a:ln>
        <a:effectLst/>
      </xdr:spPr>
    </xdr:cxnSp>
    <xdr:clientData/>
  </xdr:twoCellAnchor>
  <xdr:twoCellAnchor>
    <xdr:from>
      <xdr:col>1</xdr:col>
      <xdr:colOff>441960</xdr:colOff>
      <xdr:row>114</xdr:row>
      <xdr:rowOff>41365</xdr:rowOff>
    </xdr:from>
    <xdr:to>
      <xdr:col>2</xdr:col>
      <xdr:colOff>290512</xdr:colOff>
      <xdr:row>115</xdr:row>
      <xdr:rowOff>76201</xdr:rowOff>
    </xdr:to>
    <xdr:sp macro="" textlink="">
      <xdr:nvSpPr>
        <xdr:cNvPr id="172" name="TextBox 171"/>
        <xdr:cNvSpPr txBox="1"/>
      </xdr:nvSpPr>
      <xdr:spPr>
        <a:xfrm>
          <a:off x="1318260" y="23107105"/>
          <a:ext cx="1022032" cy="217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Tire Contact Area</a:t>
          </a:r>
        </a:p>
      </xdr:txBody>
    </xdr:sp>
    <xdr:clientData/>
  </xdr:twoCellAnchor>
  <xdr:twoCellAnchor>
    <xdr:from>
      <xdr:col>1</xdr:col>
      <xdr:colOff>396749</xdr:colOff>
      <xdr:row>114</xdr:row>
      <xdr:rowOff>156754</xdr:rowOff>
    </xdr:from>
    <xdr:to>
      <xdr:col>1</xdr:col>
      <xdr:colOff>512173</xdr:colOff>
      <xdr:row>116</xdr:row>
      <xdr:rowOff>83486</xdr:rowOff>
    </xdr:to>
    <xdr:cxnSp macro="">
      <xdr:nvCxnSpPr>
        <xdr:cNvPr id="173" name="Straight Arrow Connector 172"/>
        <xdr:cNvCxnSpPr/>
      </xdr:nvCxnSpPr>
      <xdr:spPr bwMode="auto">
        <a:xfrm rot="5400000">
          <a:off x="1184515" y="23311028"/>
          <a:ext cx="292492" cy="115424"/>
        </a:xfrm>
        <a:prstGeom prst="straightConnector1">
          <a:avLst/>
        </a:prstGeom>
        <a:solidFill>
          <a:srgbClr val="FFFFFF"/>
        </a:solidFill>
        <a:ln w="3175" cap="flat" cmpd="sng" algn="ctr">
          <a:solidFill>
            <a:srgbClr val="000000"/>
          </a:solidFill>
          <a:prstDash val="solid"/>
          <a:round/>
          <a:headEnd type="none" w="med" len="med"/>
          <a:tailEnd type="stealth" w="sm" len="sm"/>
        </a:ln>
        <a:effectLst/>
      </xdr:spPr>
    </xdr:cxnSp>
    <xdr:clientData/>
  </xdr:twoCellAnchor>
  <xdr:twoCellAnchor>
    <xdr:from>
      <xdr:col>1</xdr:col>
      <xdr:colOff>217464</xdr:colOff>
      <xdr:row>114</xdr:row>
      <xdr:rowOff>59033</xdr:rowOff>
    </xdr:from>
    <xdr:to>
      <xdr:col>1</xdr:col>
      <xdr:colOff>219052</xdr:colOff>
      <xdr:row>117</xdr:row>
      <xdr:rowOff>113461</xdr:rowOff>
    </xdr:to>
    <xdr:cxnSp macro="">
      <xdr:nvCxnSpPr>
        <xdr:cNvPr id="174" name="Straight Arrow Connector 173"/>
        <xdr:cNvCxnSpPr/>
      </xdr:nvCxnSpPr>
      <xdr:spPr bwMode="auto">
        <a:xfrm rot="5400000">
          <a:off x="793024" y="23425513"/>
          <a:ext cx="603068" cy="1588"/>
        </a:xfrm>
        <a:prstGeom prst="straightConnector1">
          <a:avLst/>
        </a:prstGeom>
        <a:solidFill>
          <a:srgbClr val="FFFFFF"/>
        </a:solidFill>
        <a:ln w="9525" cap="flat" cmpd="sng" algn="ctr">
          <a:solidFill>
            <a:srgbClr val="FF0000"/>
          </a:solidFill>
          <a:prstDash val="solid"/>
          <a:round/>
          <a:headEnd type="none" w="med" len="med"/>
          <a:tailEnd type="triangle" w="lg" len="lg"/>
        </a:ln>
        <a:effectLst/>
      </xdr:spPr>
    </xdr:cxnSp>
    <xdr:clientData/>
  </xdr:twoCellAnchor>
  <xdr:twoCellAnchor>
    <xdr:from>
      <xdr:col>1</xdr:col>
      <xdr:colOff>34425</xdr:colOff>
      <xdr:row>112</xdr:row>
      <xdr:rowOff>248192</xdr:rowOff>
    </xdr:from>
    <xdr:to>
      <xdr:col>2</xdr:col>
      <xdr:colOff>423863</xdr:colOff>
      <xdr:row>115</xdr:row>
      <xdr:rowOff>32384</xdr:rowOff>
    </xdr:to>
    <xdr:sp macro="" textlink="">
      <xdr:nvSpPr>
        <xdr:cNvPr id="175" name="TextBox 174"/>
        <xdr:cNvSpPr txBox="1"/>
      </xdr:nvSpPr>
      <xdr:spPr>
        <a:xfrm>
          <a:off x="910725" y="22963412"/>
          <a:ext cx="1562918" cy="317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Wheel Load P, </a:t>
          </a:r>
          <a:r>
            <a:rPr lang="en-US" sz="700" b="1" baseline="0"/>
            <a:t>P</a:t>
          </a:r>
          <a:r>
            <a:rPr lang="en-US" sz="700" baseline="0"/>
            <a:t>=1/2  Axle Load </a:t>
          </a:r>
        </a:p>
      </xdr:txBody>
    </xdr:sp>
    <xdr:clientData/>
  </xdr:twoCellAnchor>
  <xdr:twoCellAnchor>
    <xdr:from>
      <xdr:col>2</xdr:col>
      <xdr:colOff>133350</xdr:colOff>
      <xdr:row>117</xdr:row>
      <xdr:rowOff>152400</xdr:rowOff>
    </xdr:from>
    <xdr:to>
      <xdr:col>2</xdr:col>
      <xdr:colOff>590550</xdr:colOff>
      <xdr:row>119</xdr:row>
      <xdr:rowOff>15240</xdr:rowOff>
    </xdr:to>
    <xdr:sp macro="" textlink="">
      <xdr:nvSpPr>
        <xdr:cNvPr id="176" name="Rectangle 175"/>
        <xdr:cNvSpPr/>
      </xdr:nvSpPr>
      <xdr:spPr bwMode="auto">
        <a:xfrm>
          <a:off x="2183130" y="23766780"/>
          <a:ext cx="457200" cy="228600"/>
        </a:xfrm>
        <a:prstGeom prst="rect">
          <a:avLst/>
        </a:prstGeom>
        <a:solidFill>
          <a:schemeClr val="accent1">
            <a:lumMod val="40000"/>
            <a:lumOff val="6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607694</xdr:colOff>
      <xdr:row>117</xdr:row>
      <xdr:rowOff>152400</xdr:rowOff>
    </xdr:from>
    <xdr:to>
      <xdr:col>3</xdr:col>
      <xdr:colOff>157842</xdr:colOff>
      <xdr:row>119</xdr:row>
      <xdr:rowOff>15240</xdr:rowOff>
    </xdr:to>
    <xdr:sp macro="" textlink="">
      <xdr:nvSpPr>
        <xdr:cNvPr id="177" name="Rectangle 176"/>
        <xdr:cNvSpPr/>
      </xdr:nvSpPr>
      <xdr:spPr bwMode="auto">
        <a:xfrm>
          <a:off x="2657474" y="23766780"/>
          <a:ext cx="418828" cy="228600"/>
        </a:xfrm>
        <a:prstGeom prst="rect">
          <a:avLst/>
        </a:prstGeom>
        <a:solidFill>
          <a:schemeClr val="accent6">
            <a:lumMod val="60000"/>
            <a:lumOff val="4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295911</xdr:colOff>
      <xdr:row>119</xdr:row>
      <xdr:rowOff>131444</xdr:rowOff>
    </xdr:from>
    <xdr:to>
      <xdr:col>4</xdr:col>
      <xdr:colOff>640081</xdr:colOff>
      <xdr:row>120</xdr:row>
      <xdr:rowOff>176529</xdr:rowOff>
    </xdr:to>
    <xdr:sp macro="" textlink="">
      <xdr:nvSpPr>
        <xdr:cNvPr id="178" name="Rectangle 177"/>
        <xdr:cNvSpPr/>
      </xdr:nvSpPr>
      <xdr:spPr bwMode="auto">
        <a:xfrm>
          <a:off x="4067811" y="24111584"/>
          <a:ext cx="344170" cy="227965"/>
        </a:xfrm>
        <a:prstGeom prst="rect">
          <a:avLst/>
        </a:prstGeom>
        <a:gradFill>
          <a:gsLst>
            <a:gs pos="0">
              <a:schemeClr val="accent1">
                <a:tint val="66000"/>
                <a:satMod val="160000"/>
                <a:alpha val="46000"/>
              </a:schemeClr>
            </a:gs>
            <a:gs pos="50000">
              <a:schemeClr val="accent1">
                <a:tint val="44500"/>
                <a:satMod val="160000"/>
              </a:schemeClr>
            </a:gs>
            <a:gs pos="100000">
              <a:schemeClr val="accent1">
                <a:tint val="23500"/>
                <a:satMod val="160000"/>
              </a:schemeClr>
            </a:gs>
          </a:gsLst>
          <a:lin ang="2700000" scaled="1"/>
        </a:gra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750570</xdr:colOff>
      <xdr:row>119</xdr:row>
      <xdr:rowOff>130810</xdr:rowOff>
    </xdr:from>
    <xdr:to>
      <xdr:col>5</xdr:col>
      <xdr:colOff>328930</xdr:colOff>
      <xdr:row>120</xdr:row>
      <xdr:rowOff>177165</xdr:rowOff>
    </xdr:to>
    <xdr:sp macro="" textlink="">
      <xdr:nvSpPr>
        <xdr:cNvPr id="179" name="Rectangle 178"/>
        <xdr:cNvSpPr/>
      </xdr:nvSpPr>
      <xdr:spPr bwMode="auto">
        <a:xfrm>
          <a:off x="4476750" y="24110950"/>
          <a:ext cx="332740" cy="229235"/>
        </a:xfrm>
        <a:prstGeom prst="rect">
          <a:avLst/>
        </a:prstGeom>
        <a:solidFill>
          <a:schemeClr val="accent6">
            <a:lumMod val="60000"/>
            <a:lumOff val="4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351790</xdr:colOff>
      <xdr:row>119</xdr:row>
      <xdr:rowOff>147320</xdr:rowOff>
    </xdr:from>
    <xdr:to>
      <xdr:col>2</xdr:col>
      <xdr:colOff>825500</xdr:colOff>
      <xdr:row>119</xdr:row>
      <xdr:rowOff>148908</xdr:rowOff>
    </xdr:to>
    <xdr:cxnSp macro="">
      <xdr:nvCxnSpPr>
        <xdr:cNvPr id="180" name="Straight Arrow Connector 179"/>
        <xdr:cNvCxnSpPr/>
      </xdr:nvCxnSpPr>
      <xdr:spPr bwMode="auto">
        <a:xfrm>
          <a:off x="2401570" y="24127460"/>
          <a:ext cx="47371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2</xdr:col>
      <xdr:colOff>139517</xdr:colOff>
      <xdr:row>117</xdr:row>
      <xdr:rowOff>169453</xdr:rowOff>
    </xdr:from>
    <xdr:to>
      <xdr:col>2</xdr:col>
      <xdr:colOff>458470</xdr:colOff>
      <xdr:row>118</xdr:row>
      <xdr:rowOff>165099</xdr:rowOff>
    </xdr:to>
    <xdr:sp macro="" textlink="">
      <xdr:nvSpPr>
        <xdr:cNvPr id="181" name="TextBox 180"/>
        <xdr:cNvSpPr txBox="1"/>
      </xdr:nvSpPr>
      <xdr:spPr>
        <a:xfrm>
          <a:off x="2189297" y="2378383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2</xdr:col>
      <xdr:colOff>650057</xdr:colOff>
      <xdr:row>118</xdr:row>
      <xdr:rowOff>1812</xdr:rowOff>
    </xdr:from>
    <xdr:to>
      <xdr:col>2</xdr:col>
      <xdr:colOff>939800</xdr:colOff>
      <xdr:row>119</xdr:row>
      <xdr:rowOff>10159</xdr:rowOff>
    </xdr:to>
    <xdr:sp macro="" textlink="">
      <xdr:nvSpPr>
        <xdr:cNvPr id="182" name="TextBox 181"/>
        <xdr:cNvSpPr txBox="1"/>
      </xdr:nvSpPr>
      <xdr:spPr>
        <a:xfrm>
          <a:off x="2699837" y="23799072"/>
          <a:ext cx="221163" cy="191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1</xdr:col>
      <xdr:colOff>1601470</xdr:colOff>
      <xdr:row>117</xdr:row>
      <xdr:rowOff>154940</xdr:rowOff>
    </xdr:from>
    <xdr:to>
      <xdr:col>2</xdr:col>
      <xdr:colOff>95250</xdr:colOff>
      <xdr:row>117</xdr:row>
      <xdr:rowOff>154940</xdr:rowOff>
    </xdr:to>
    <xdr:cxnSp macro="">
      <xdr:nvCxnSpPr>
        <xdr:cNvPr id="183" name="Straight Connector 182"/>
        <xdr:cNvCxnSpPr/>
      </xdr:nvCxnSpPr>
      <xdr:spPr bwMode="auto">
        <a:xfrm rot="10800000">
          <a:off x="2051050" y="23769320"/>
          <a:ext cx="9398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1601470</xdr:colOff>
      <xdr:row>119</xdr:row>
      <xdr:rowOff>17780</xdr:rowOff>
    </xdr:from>
    <xdr:to>
      <xdr:col>2</xdr:col>
      <xdr:colOff>95250</xdr:colOff>
      <xdr:row>119</xdr:row>
      <xdr:rowOff>17780</xdr:rowOff>
    </xdr:to>
    <xdr:cxnSp macro="">
      <xdr:nvCxnSpPr>
        <xdr:cNvPr id="184" name="Straight Connector 183"/>
        <xdr:cNvCxnSpPr/>
      </xdr:nvCxnSpPr>
      <xdr:spPr bwMode="auto">
        <a:xfrm rot="10800000">
          <a:off x="2051050" y="23997920"/>
          <a:ext cx="9398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xdr:col>
      <xdr:colOff>155032</xdr:colOff>
      <xdr:row>119</xdr:row>
      <xdr:rowOff>43181</xdr:rowOff>
    </xdr:from>
    <xdr:to>
      <xdr:col>3</xdr:col>
      <xdr:colOff>155032</xdr:colOff>
      <xdr:row>121</xdr:row>
      <xdr:rowOff>10160</xdr:rowOff>
    </xdr:to>
    <xdr:cxnSp macro="">
      <xdr:nvCxnSpPr>
        <xdr:cNvPr id="185" name="Straight Connector 184"/>
        <xdr:cNvCxnSpPr/>
      </xdr:nvCxnSpPr>
      <xdr:spPr bwMode="auto">
        <a:xfrm rot="5400000">
          <a:off x="2907122" y="24189691"/>
          <a:ext cx="33273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15716</xdr:colOff>
      <xdr:row>117</xdr:row>
      <xdr:rowOff>155734</xdr:rowOff>
    </xdr:from>
    <xdr:to>
      <xdr:col>2</xdr:col>
      <xdr:colOff>17304</xdr:colOff>
      <xdr:row>119</xdr:row>
      <xdr:rowOff>18574</xdr:rowOff>
    </xdr:to>
    <xdr:cxnSp macro="">
      <xdr:nvCxnSpPr>
        <xdr:cNvPr id="186" name="Straight Arrow Connector 185"/>
        <xdr:cNvCxnSpPr/>
      </xdr:nvCxnSpPr>
      <xdr:spPr bwMode="auto">
        <a:xfrm rot="5400000">
          <a:off x="1951990" y="23883620"/>
          <a:ext cx="22860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2</xdr:col>
      <xdr:colOff>598805</xdr:colOff>
      <xdr:row>120</xdr:row>
      <xdr:rowOff>154942</xdr:rowOff>
    </xdr:from>
    <xdr:to>
      <xdr:col>3</xdr:col>
      <xdr:colOff>157843</xdr:colOff>
      <xdr:row>120</xdr:row>
      <xdr:rowOff>154942</xdr:rowOff>
    </xdr:to>
    <xdr:cxnSp macro="">
      <xdr:nvCxnSpPr>
        <xdr:cNvPr id="187" name="Straight Arrow Connector 186"/>
        <xdr:cNvCxnSpPr/>
      </xdr:nvCxnSpPr>
      <xdr:spPr bwMode="auto">
        <a:xfrm>
          <a:off x="2648585" y="24317962"/>
          <a:ext cx="427718" cy="0"/>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1</xdr:col>
      <xdr:colOff>1439997</xdr:colOff>
      <xdr:row>117</xdr:row>
      <xdr:rowOff>179613</xdr:rowOff>
    </xdr:from>
    <xdr:to>
      <xdr:col>2</xdr:col>
      <xdr:colOff>105410</xdr:colOff>
      <xdr:row>118</xdr:row>
      <xdr:rowOff>175259</xdr:rowOff>
    </xdr:to>
    <xdr:sp macro="" textlink="">
      <xdr:nvSpPr>
        <xdr:cNvPr id="188" name="TextBox 187"/>
        <xdr:cNvSpPr txBox="1"/>
      </xdr:nvSpPr>
      <xdr:spPr>
        <a:xfrm>
          <a:off x="2049597" y="23793993"/>
          <a:ext cx="10559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a:t>
          </a:r>
        </a:p>
      </xdr:txBody>
    </xdr:sp>
    <xdr:clientData/>
  </xdr:twoCellAnchor>
  <xdr:twoCellAnchor>
    <xdr:from>
      <xdr:col>2</xdr:col>
      <xdr:colOff>253817</xdr:colOff>
      <xdr:row>119</xdr:row>
      <xdr:rowOff>161832</xdr:rowOff>
    </xdr:from>
    <xdr:to>
      <xdr:col>2</xdr:col>
      <xdr:colOff>572770</xdr:colOff>
      <xdr:row>121</xdr:row>
      <xdr:rowOff>1269</xdr:rowOff>
    </xdr:to>
    <xdr:sp macro="" textlink="">
      <xdr:nvSpPr>
        <xdr:cNvPr id="189" name="TextBox 188"/>
        <xdr:cNvSpPr txBox="1"/>
      </xdr:nvSpPr>
      <xdr:spPr>
        <a:xfrm>
          <a:off x="2303597" y="24141972"/>
          <a:ext cx="318953" cy="205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a:t>
          </a:r>
          <a:r>
            <a:rPr lang="en-US" sz="700" baseline="0"/>
            <a:t> </a:t>
          </a:r>
        </a:p>
      </xdr:txBody>
    </xdr:sp>
    <xdr:clientData/>
  </xdr:twoCellAnchor>
  <xdr:twoCellAnchor>
    <xdr:from>
      <xdr:col>2</xdr:col>
      <xdr:colOff>678631</xdr:colOff>
      <xdr:row>119</xdr:row>
      <xdr:rowOff>161833</xdr:rowOff>
    </xdr:from>
    <xdr:to>
      <xdr:col>3</xdr:col>
      <xdr:colOff>212271</xdr:colOff>
      <xdr:row>121</xdr:row>
      <xdr:rowOff>1905</xdr:rowOff>
    </xdr:to>
    <xdr:sp macro="" textlink="">
      <xdr:nvSpPr>
        <xdr:cNvPr id="191" name="TextBox 190"/>
        <xdr:cNvSpPr txBox="1"/>
      </xdr:nvSpPr>
      <xdr:spPr>
        <a:xfrm>
          <a:off x="2728411" y="24141973"/>
          <a:ext cx="402320" cy="205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a:t>
          </a:r>
          <a:r>
            <a:rPr lang="en-US" sz="700" baseline="0"/>
            <a:t> </a:t>
          </a:r>
        </a:p>
      </xdr:txBody>
    </xdr:sp>
    <xdr:clientData/>
  </xdr:twoCellAnchor>
  <xdr:twoCellAnchor>
    <xdr:from>
      <xdr:col>4</xdr:col>
      <xdr:colOff>640080</xdr:colOff>
      <xdr:row>119</xdr:row>
      <xdr:rowOff>131445</xdr:rowOff>
    </xdr:from>
    <xdr:to>
      <xdr:col>4</xdr:col>
      <xdr:colOff>750570</xdr:colOff>
      <xdr:row>120</xdr:row>
      <xdr:rowOff>177165</xdr:rowOff>
    </xdr:to>
    <xdr:sp macro="" textlink="">
      <xdr:nvSpPr>
        <xdr:cNvPr id="192" name="Rectangle 191"/>
        <xdr:cNvSpPr/>
      </xdr:nvSpPr>
      <xdr:spPr bwMode="auto">
        <a:xfrm>
          <a:off x="4411980" y="24111585"/>
          <a:ext cx="64770" cy="228600"/>
        </a:xfrm>
        <a:prstGeom prst="rect">
          <a:avLst/>
        </a:prstGeom>
        <a:solidFill>
          <a:schemeClr val="accent3">
            <a:lumMod val="40000"/>
            <a:lumOff val="6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129540</xdr:colOff>
      <xdr:row>119</xdr:row>
      <xdr:rowOff>133350</xdr:rowOff>
    </xdr:from>
    <xdr:to>
      <xdr:col>4</xdr:col>
      <xdr:colOff>276860</xdr:colOff>
      <xdr:row>119</xdr:row>
      <xdr:rowOff>133350</xdr:rowOff>
    </xdr:to>
    <xdr:cxnSp macro="">
      <xdr:nvCxnSpPr>
        <xdr:cNvPr id="193" name="Straight Connector 192"/>
        <xdr:cNvCxnSpPr/>
      </xdr:nvCxnSpPr>
      <xdr:spPr bwMode="auto">
        <a:xfrm rot="10800000">
          <a:off x="3901440" y="2411349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297183</xdr:colOff>
      <xdr:row>121</xdr:row>
      <xdr:rowOff>12697</xdr:rowOff>
    </xdr:from>
    <xdr:to>
      <xdr:col>4</xdr:col>
      <xdr:colOff>297183</xdr:colOff>
      <xdr:row>123</xdr:row>
      <xdr:rowOff>3</xdr:rowOff>
    </xdr:to>
    <xdr:cxnSp macro="">
      <xdr:nvCxnSpPr>
        <xdr:cNvPr id="194" name="Straight Connector 193"/>
        <xdr:cNvCxnSpPr/>
      </xdr:nvCxnSpPr>
      <xdr:spPr bwMode="auto">
        <a:xfrm rot="5400000">
          <a:off x="3892550" y="24535130"/>
          <a:ext cx="353066"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129540</xdr:colOff>
      <xdr:row>120</xdr:row>
      <xdr:rowOff>179070</xdr:rowOff>
    </xdr:from>
    <xdr:to>
      <xdr:col>4</xdr:col>
      <xdr:colOff>276860</xdr:colOff>
      <xdr:row>120</xdr:row>
      <xdr:rowOff>179070</xdr:rowOff>
    </xdr:to>
    <xdr:cxnSp macro="">
      <xdr:nvCxnSpPr>
        <xdr:cNvPr id="195" name="Straight Connector 194"/>
        <xdr:cNvCxnSpPr/>
      </xdr:nvCxnSpPr>
      <xdr:spPr bwMode="auto">
        <a:xfrm rot="10800000">
          <a:off x="3901440" y="2434209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751840</xdr:colOff>
      <xdr:row>121</xdr:row>
      <xdr:rowOff>13970</xdr:rowOff>
    </xdr:from>
    <xdr:to>
      <xdr:col>4</xdr:col>
      <xdr:colOff>751840</xdr:colOff>
      <xdr:row>121</xdr:row>
      <xdr:rowOff>144780</xdr:rowOff>
    </xdr:to>
    <xdr:cxnSp macro="">
      <xdr:nvCxnSpPr>
        <xdr:cNvPr id="196" name="Straight Connector 195"/>
        <xdr:cNvCxnSpPr/>
      </xdr:nvCxnSpPr>
      <xdr:spPr bwMode="auto">
        <a:xfrm rot="5400000">
          <a:off x="4412615" y="24425275"/>
          <a:ext cx="13081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5</xdr:col>
      <xdr:colOff>330838</xdr:colOff>
      <xdr:row>121</xdr:row>
      <xdr:rowOff>10157</xdr:rowOff>
    </xdr:from>
    <xdr:to>
      <xdr:col>5</xdr:col>
      <xdr:colOff>330838</xdr:colOff>
      <xdr:row>123</xdr:row>
      <xdr:rowOff>7623</xdr:rowOff>
    </xdr:to>
    <xdr:cxnSp macro="">
      <xdr:nvCxnSpPr>
        <xdr:cNvPr id="197" name="Straight Connector 196"/>
        <xdr:cNvCxnSpPr/>
      </xdr:nvCxnSpPr>
      <xdr:spPr bwMode="auto">
        <a:xfrm rot="5400000">
          <a:off x="4629785" y="24537670"/>
          <a:ext cx="363226"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197326</xdr:colOff>
      <xdr:row>119</xdr:row>
      <xdr:rowOff>134144</xdr:rowOff>
    </xdr:from>
    <xdr:to>
      <xdr:col>4</xdr:col>
      <xdr:colOff>198914</xdr:colOff>
      <xdr:row>120</xdr:row>
      <xdr:rowOff>179864</xdr:rowOff>
    </xdr:to>
    <xdr:cxnSp macro="">
      <xdr:nvCxnSpPr>
        <xdr:cNvPr id="198" name="Straight Arrow Connector 197"/>
        <xdr:cNvCxnSpPr/>
      </xdr:nvCxnSpPr>
      <xdr:spPr bwMode="auto">
        <a:xfrm rot="5400000">
          <a:off x="3855720" y="24227790"/>
          <a:ext cx="22860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297180</xdr:colOff>
      <xdr:row>121</xdr:row>
      <xdr:rowOff>106680</xdr:rowOff>
    </xdr:from>
    <xdr:to>
      <xdr:col>4</xdr:col>
      <xdr:colOff>752475</xdr:colOff>
      <xdr:row>121</xdr:row>
      <xdr:rowOff>106682</xdr:rowOff>
    </xdr:to>
    <xdr:cxnSp macro="">
      <xdr:nvCxnSpPr>
        <xdr:cNvPr id="199" name="Straight Arrow Connector 198"/>
        <xdr:cNvCxnSpPr/>
      </xdr:nvCxnSpPr>
      <xdr:spPr bwMode="auto">
        <a:xfrm flipV="1">
          <a:off x="4069080" y="24452580"/>
          <a:ext cx="409575" cy="2"/>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640080</xdr:colOff>
      <xdr:row>121</xdr:row>
      <xdr:rowOff>179388</xdr:rowOff>
    </xdr:from>
    <xdr:to>
      <xdr:col>5</xdr:col>
      <xdr:colOff>327025</xdr:colOff>
      <xdr:row>121</xdr:row>
      <xdr:rowOff>180976</xdr:rowOff>
    </xdr:to>
    <xdr:cxnSp macro="">
      <xdr:nvCxnSpPr>
        <xdr:cNvPr id="200" name="Straight Arrow Connector 199"/>
        <xdr:cNvCxnSpPr/>
      </xdr:nvCxnSpPr>
      <xdr:spPr bwMode="auto">
        <a:xfrm>
          <a:off x="4411980" y="24525288"/>
          <a:ext cx="395605"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1723</xdr:colOff>
      <xdr:row>119</xdr:row>
      <xdr:rowOff>147228</xdr:rowOff>
    </xdr:from>
    <xdr:to>
      <xdr:col>4</xdr:col>
      <xdr:colOff>260985</xdr:colOff>
      <xdr:row>120</xdr:row>
      <xdr:rowOff>142874</xdr:rowOff>
    </xdr:to>
    <xdr:sp macro="" textlink="">
      <xdr:nvSpPr>
        <xdr:cNvPr id="201" name="TextBox 200"/>
        <xdr:cNvSpPr txBox="1"/>
      </xdr:nvSpPr>
      <xdr:spPr>
        <a:xfrm>
          <a:off x="3773623" y="24127368"/>
          <a:ext cx="259262"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a:t>
          </a:r>
        </a:p>
      </xdr:txBody>
    </xdr:sp>
    <xdr:clientData/>
  </xdr:twoCellAnchor>
  <xdr:twoCellAnchor>
    <xdr:from>
      <xdr:col>4</xdr:col>
      <xdr:colOff>369387</xdr:colOff>
      <xdr:row>120</xdr:row>
      <xdr:rowOff>125003</xdr:rowOff>
    </xdr:from>
    <xdr:to>
      <xdr:col>4</xdr:col>
      <xdr:colOff>688340</xdr:colOff>
      <xdr:row>121</xdr:row>
      <xdr:rowOff>120649</xdr:rowOff>
    </xdr:to>
    <xdr:sp macro="" textlink="">
      <xdr:nvSpPr>
        <xdr:cNvPr id="202" name="TextBox 201"/>
        <xdr:cNvSpPr txBox="1"/>
      </xdr:nvSpPr>
      <xdr:spPr>
        <a:xfrm>
          <a:off x="4141287" y="2428802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a:t>
          </a:r>
          <a:r>
            <a:rPr lang="en-US" sz="700" baseline="0"/>
            <a:t> </a:t>
          </a:r>
        </a:p>
      </xdr:txBody>
    </xdr:sp>
    <xdr:clientData/>
  </xdr:twoCellAnchor>
  <xdr:twoCellAnchor>
    <xdr:from>
      <xdr:col>5</xdr:col>
      <xdr:colOff>2175</xdr:colOff>
      <xdr:row>121</xdr:row>
      <xdr:rowOff>9433</xdr:rowOff>
    </xdr:from>
    <xdr:to>
      <xdr:col>5</xdr:col>
      <xdr:colOff>424542</xdr:colOff>
      <xdr:row>122</xdr:row>
      <xdr:rowOff>5079</xdr:rowOff>
    </xdr:to>
    <xdr:sp macro="" textlink="">
      <xdr:nvSpPr>
        <xdr:cNvPr id="203" name="TextBox 202"/>
        <xdr:cNvSpPr txBox="1"/>
      </xdr:nvSpPr>
      <xdr:spPr>
        <a:xfrm>
          <a:off x="4482735" y="24355333"/>
          <a:ext cx="422367"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a:t>
          </a:r>
          <a:r>
            <a:rPr lang="en-US" sz="700" baseline="0"/>
            <a:t> </a:t>
          </a:r>
        </a:p>
      </xdr:txBody>
    </xdr:sp>
    <xdr:clientData/>
  </xdr:twoCellAnchor>
  <xdr:twoCellAnchor>
    <xdr:from>
      <xdr:col>4</xdr:col>
      <xdr:colOff>641350</xdr:colOff>
      <xdr:row>121</xdr:row>
      <xdr:rowOff>17780</xdr:rowOff>
    </xdr:from>
    <xdr:to>
      <xdr:col>4</xdr:col>
      <xdr:colOff>641350</xdr:colOff>
      <xdr:row>122</xdr:row>
      <xdr:rowOff>34290</xdr:rowOff>
    </xdr:to>
    <xdr:cxnSp macro="">
      <xdr:nvCxnSpPr>
        <xdr:cNvPr id="204" name="Straight Connector 203"/>
        <xdr:cNvCxnSpPr/>
      </xdr:nvCxnSpPr>
      <xdr:spPr bwMode="auto">
        <a:xfrm rot="5400000">
          <a:off x="4313555" y="24463375"/>
          <a:ext cx="19939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295275</xdr:colOff>
      <xdr:row>122</xdr:row>
      <xdr:rowOff>146368</xdr:rowOff>
    </xdr:from>
    <xdr:to>
      <xdr:col>5</xdr:col>
      <xdr:colOff>335280</xdr:colOff>
      <xdr:row>122</xdr:row>
      <xdr:rowOff>147956</xdr:rowOff>
    </xdr:to>
    <xdr:cxnSp macro="">
      <xdr:nvCxnSpPr>
        <xdr:cNvPr id="205" name="Straight Arrow Connector 204"/>
        <xdr:cNvCxnSpPr/>
      </xdr:nvCxnSpPr>
      <xdr:spPr bwMode="auto">
        <a:xfrm>
          <a:off x="4067175" y="24675148"/>
          <a:ext cx="748665"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490671</xdr:colOff>
      <xdr:row>121</xdr:row>
      <xdr:rowOff>150402</xdr:rowOff>
    </xdr:from>
    <xdr:to>
      <xdr:col>5</xdr:col>
      <xdr:colOff>457200</xdr:colOff>
      <xdr:row>122</xdr:row>
      <xdr:rowOff>182879</xdr:rowOff>
    </xdr:to>
    <xdr:sp macro="" textlink="">
      <xdr:nvSpPr>
        <xdr:cNvPr id="218" name="TextBox 217"/>
        <xdr:cNvSpPr txBox="1"/>
      </xdr:nvSpPr>
      <xdr:spPr>
        <a:xfrm>
          <a:off x="4262571" y="24496302"/>
          <a:ext cx="675189" cy="215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 (total)</a:t>
          </a:r>
          <a:r>
            <a:rPr lang="en-US" sz="700" baseline="0"/>
            <a:t> </a:t>
          </a:r>
        </a:p>
      </xdr:txBody>
    </xdr:sp>
    <xdr:clientData/>
  </xdr:twoCellAnchor>
  <xdr:twoCellAnchor>
    <xdr:from>
      <xdr:col>2</xdr:col>
      <xdr:colOff>116840</xdr:colOff>
      <xdr:row>121</xdr:row>
      <xdr:rowOff>102870</xdr:rowOff>
    </xdr:from>
    <xdr:to>
      <xdr:col>3</xdr:col>
      <xdr:colOff>359229</xdr:colOff>
      <xdr:row>123</xdr:row>
      <xdr:rowOff>114300</xdr:rowOff>
    </xdr:to>
    <xdr:sp macro="" textlink="">
      <xdr:nvSpPr>
        <xdr:cNvPr id="219" name="TextBox 218"/>
        <xdr:cNvSpPr txBox="1"/>
      </xdr:nvSpPr>
      <xdr:spPr>
        <a:xfrm>
          <a:off x="2166620" y="24448770"/>
          <a:ext cx="1111069" cy="377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u="sng"/>
            <a:t>Distributed Load</a:t>
          </a:r>
          <a:r>
            <a:rPr lang="en-US" sz="700" b="1" u="sng" baseline="0"/>
            <a:t> Area</a:t>
          </a:r>
        </a:p>
        <a:p>
          <a:r>
            <a:rPr lang="en-US" sz="700" b="0" u="none" baseline="0"/>
            <a:t>       (no overlapping)</a:t>
          </a:r>
          <a:endParaRPr lang="en-US" sz="700" b="0" u="none"/>
        </a:p>
      </xdr:txBody>
    </xdr:sp>
    <xdr:clientData/>
  </xdr:twoCellAnchor>
  <xdr:twoCellAnchor>
    <xdr:from>
      <xdr:col>3</xdr:col>
      <xdr:colOff>370840</xdr:colOff>
      <xdr:row>122</xdr:row>
      <xdr:rowOff>180340</xdr:rowOff>
    </xdr:from>
    <xdr:to>
      <xdr:col>7</xdr:col>
      <xdr:colOff>243840</xdr:colOff>
      <xdr:row>124</xdr:row>
      <xdr:rowOff>80010</xdr:rowOff>
    </xdr:to>
    <xdr:sp macro="" textlink="">
      <xdr:nvSpPr>
        <xdr:cNvPr id="220" name="TextBox 219"/>
        <xdr:cNvSpPr txBox="1"/>
      </xdr:nvSpPr>
      <xdr:spPr>
        <a:xfrm>
          <a:off x="3289300" y="24709120"/>
          <a:ext cx="2677160" cy="372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700" b="1" u="sng"/>
            <a:t>Wheel loads distributed  area</a:t>
          </a:r>
        </a:p>
        <a:p>
          <a:pPr marL="0" marR="0" indent="0" algn="ctr" defTabSz="914400" eaLnBrk="1" fontAlgn="auto" latinLnBrk="0" hangingPunct="1">
            <a:lnSpc>
              <a:spcPct val="100000"/>
            </a:lnSpc>
            <a:spcBef>
              <a:spcPts val="0"/>
            </a:spcBef>
            <a:spcAft>
              <a:spcPts val="0"/>
            </a:spcAft>
            <a:buClrTx/>
            <a:buSzTx/>
            <a:buFontTx/>
            <a:buNone/>
            <a:tabLst/>
            <a:defRPr/>
          </a:pPr>
          <a:r>
            <a:rPr lang="en-US" sz="700" b="0">
              <a:solidFill>
                <a:schemeClr val="dk1"/>
              </a:solidFill>
              <a:latin typeface="+mn-lt"/>
              <a:ea typeface="+mn-ea"/>
              <a:cs typeface="+mn-cs"/>
            </a:rPr>
            <a:t>(overlapping perpendicular to</a:t>
          </a:r>
          <a:r>
            <a:rPr lang="en-US" sz="700" b="0" baseline="0">
              <a:solidFill>
                <a:schemeClr val="dk1"/>
              </a:solidFill>
              <a:latin typeface="+mn-lt"/>
              <a:ea typeface="+mn-ea"/>
              <a:cs typeface="+mn-cs"/>
            </a:rPr>
            <a:t> the direction of travel</a:t>
          </a:r>
          <a:r>
            <a:rPr lang="en-US" sz="700" b="0">
              <a:solidFill>
                <a:schemeClr val="dk1"/>
              </a:solidFill>
              <a:latin typeface="+mn-lt"/>
              <a:ea typeface="+mn-ea"/>
              <a:cs typeface="+mn-cs"/>
            </a:rPr>
            <a:t>)</a:t>
          </a:r>
          <a:r>
            <a:rPr lang="en-US" sz="700" b="0" baseline="0">
              <a:solidFill>
                <a:schemeClr val="dk1"/>
              </a:solidFill>
              <a:latin typeface="+mn-lt"/>
              <a:ea typeface="+mn-ea"/>
              <a:cs typeface="+mn-cs"/>
            </a:rPr>
            <a:t> </a:t>
          </a:r>
          <a:endParaRPr lang="en-US" sz="700" b="0"/>
        </a:p>
        <a:p>
          <a:pPr algn="ctr"/>
          <a:endParaRPr lang="en-US" sz="700" b="1" u="none" baseline="0"/>
        </a:p>
      </xdr:txBody>
    </xdr:sp>
    <xdr:clientData/>
  </xdr:twoCellAnchor>
  <xdr:twoCellAnchor>
    <xdr:from>
      <xdr:col>4</xdr:col>
      <xdr:colOff>306070</xdr:colOff>
      <xdr:row>119</xdr:row>
      <xdr:rowOff>151130</xdr:rowOff>
    </xdr:from>
    <xdr:to>
      <xdr:col>4</xdr:col>
      <xdr:colOff>625023</xdr:colOff>
      <xdr:row>120</xdr:row>
      <xdr:rowOff>146776</xdr:rowOff>
    </xdr:to>
    <xdr:sp macro="" textlink="">
      <xdr:nvSpPr>
        <xdr:cNvPr id="221" name="TextBox 220"/>
        <xdr:cNvSpPr txBox="1"/>
      </xdr:nvSpPr>
      <xdr:spPr>
        <a:xfrm>
          <a:off x="4077970" y="24131270"/>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5</xdr:col>
      <xdr:colOff>88900</xdr:colOff>
      <xdr:row>119</xdr:row>
      <xdr:rowOff>156210</xdr:rowOff>
    </xdr:from>
    <xdr:to>
      <xdr:col>5</xdr:col>
      <xdr:colOff>407853</xdr:colOff>
      <xdr:row>120</xdr:row>
      <xdr:rowOff>151856</xdr:rowOff>
    </xdr:to>
    <xdr:sp macro="" textlink="">
      <xdr:nvSpPr>
        <xdr:cNvPr id="222" name="TextBox 221"/>
        <xdr:cNvSpPr txBox="1"/>
      </xdr:nvSpPr>
      <xdr:spPr>
        <a:xfrm>
          <a:off x="4569460" y="24136350"/>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2</xdr:col>
      <xdr:colOff>337821</xdr:colOff>
      <xdr:row>118</xdr:row>
      <xdr:rowOff>66040</xdr:rowOff>
    </xdr:from>
    <xdr:to>
      <xdr:col>2</xdr:col>
      <xdr:colOff>383540</xdr:colOff>
      <xdr:row>118</xdr:row>
      <xdr:rowOff>111759</xdr:rowOff>
    </xdr:to>
    <xdr:sp macro="" textlink="">
      <xdr:nvSpPr>
        <xdr:cNvPr id="223" name="Oval 222"/>
        <xdr:cNvSpPr/>
      </xdr:nvSpPr>
      <xdr:spPr bwMode="auto">
        <a:xfrm>
          <a:off x="2387601" y="2386330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805181</xdr:colOff>
      <xdr:row>118</xdr:row>
      <xdr:rowOff>66040</xdr:rowOff>
    </xdr:from>
    <xdr:to>
      <xdr:col>2</xdr:col>
      <xdr:colOff>850900</xdr:colOff>
      <xdr:row>118</xdr:row>
      <xdr:rowOff>111759</xdr:rowOff>
    </xdr:to>
    <xdr:sp macro="" textlink="">
      <xdr:nvSpPr>
        <xdr:cNvPr id="224" name="Oval 223"/>
        <xdr:cNvSpPr/>
      </xdr:nvSpPr>
      <xdr:spPr bwMode="auto">
        <a:xfrm>
          <a:off x="2854961" y="2386330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130810</xdr:colOff>
      <xdr:row>116</xdr:row>
      <xdr:rowOff>15240</xdr:rowOff>
    </xdr:from>
    <xdr:to>
      <xdr:col>2</xdr:col>
      <xdr:colOff>588010</xdr:colOff>
      <xdr:row>117</xdr:row>
      <xdr:rowOff>60960</xdr:rowOff>
    </xdr:to>
    <xdr:sp macro="" textlink="">
      <xdr:nvSpPr>
        <xdr:cNvPr id="225" name="Rectangle 224"/>
        <xdr:cNvSpPr/>
      </xdr:nvSpPr>
      <xdr:spPr bwMode="auto">
        <a:xfrm>
          <a:off x="2180590" y="23446740"/>
          <a:ext cx="457200" cy="228600"/>
        </a:xfrm>
        <a:prstGeom prst="rect">
          <a:avLst/>
        </a:prstGeom>
        <a:solidFill>
          <a:schemeClr val="accent1">
            <a:lumMod val="40000"/>
            <a:lumOff val="6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605154</xdr:colOff>
      <xdr:row>116</xdr:row>
      <xdr:rowOff>15240</xdr:rowOff>
    </xdr:from>
    <xdr:to>
      <xdr:col>3</xdr:col>
      <xdr:colOff>157842</xdr:colOff>
      <xdr:row>117</xdr:row>
      <xdr:rowOff>60960</xdr:rowOff>
    </xdr:to>
    <xdr:sp macro="" textlink="">
      <xdr:nvSpPr>
        <xdr:cNvPr id="226" name="Rectangle 225"/>
        <xdr:cNvSpPr/>
      </xdr:nvSpPr>
      <xdr:spPr bwMode="auto">
        <a:xfrm>
          <a:off x="2654934" y="23446740"/>
          <a:ext cx="421368" cy="228600"/>
        </a:xfrm>
        <a:prstGeom prst="rect">
          <a:avLst/>
        </a:prstGeom>
        <a:solidFill>
          <a:schemeClr val="accent6">
            <a:lumMod val="60000"/>
            <a:lumOff val="4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134437</xdr:colOff>
      <xdr:row>116</xdr:row>
      <xdr:rowOff>34833</xdr:rowOff>
    </xdr:from>
    <xdr:to>
      <xdr:col>2</xdr:col>
      <xdr:colOff>453390</xdr:colOff>
      <xdr:row>117</xdr:row>
      <xdr:rowOff>30479</xdr:rowOff>
    </xdr:to>
    <xdr:sp macro="" textlink="">
      <xdr:nvSpPr>
        <xdr:cNvPr id="227" name="TextBox 226"/>
        <xdr:cNvSpPr txBox="1"/>
      </xdr:nvSpPr>
      <xdr:spPr>
        <a:xfrm>
          <a:off x="2184217" y="2346633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2</xdr:col>
      <xdr:colOff>624657</xdr:colOff>
      <xdr:row>116</xdr:row>
      <xdr:rowOff>17052</xdr:rowOff>
    </xdr:from>
    <xdr:to>
      <xdr:col>2</xdr:col>
      <xdr:colOff>914400</xdr:colOff>
      <xdr:row>117</xdr:row>
      <xdr:rowOff>25399</xdr:rowOff>
    </xdr:to>
    <xdr:sp macro="" textlink="">
      <xdr:nvSpPr>
        <xdr:cNvPr id="228" name="TextBox 227"/>
        <xdr:cNvSpPr txBox="1"/>
      </xdr:nvSpPr>
      <xdr:spPr>
        <a:xfrm>
          <a:off x="2674437" y="23448552"/>
          <a:ext cx="244023" cy="191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2</xdr:col>
      <xdr:colOff>335281</xdr:colOff>
      <xdr:row>116</xdr:row>
      <xdr:rowOff>111760</xdr:rowOff>
    </xdr:from>
    <xdr:to>
      <xdr:col>2</xdr:col>
      <xdr:colOff>381000</xdr:colOff>
      <xdr:row>116</xdr:row>
      <xdr:rowOff>157479</xdr:rowOff>
    </xdr:to>
    <xdr:sp macro="" textlink="">
      <xdr:nvSpPr>
        <xdr:cNvPr id="229" name="Oval 228"/>
        <xdr:cNvSpPr/>
      </xdr:nvSpPr>
      <xdr:spPr bwMode="auto">
        <a:xfrm>
          <a:off x="2385061" y="2354326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802641</xdr:colOff>
      <xdr:row>116</xdr:row>
      <xdr:rowOff>111760</xdr:rowOff>
    </xdr:from>
    <xdr:to>
      <xdr:col>2</xdr:col>
      <xdr:colOff>848360</xdr:colOff>
      <xdr:row>116</xdr:row>
      <xdr:rowOff>157479</xdr:rowOff>
    </xdr:to>
    <xdr:sp macro="" textlink="">
      <xdr:nvSpPr>
        <xdr:cNvPr id="230" name="Oval 229"/>
        <xdr:cNvSpPr/>
      </xdr:nvSpPr>
      <xdr:spPr bwMode="auto">
        <a:xfrm>
          <a:off x="2852421" y="2354326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353060</xdr:colOff>
      <xdr:row>118</xdr:row>
      <xdr:rowOff>149861</xdr:rowOff>
    </xdr:from>
    <xdr:to>
      <xdr:col>2</xdr:col>
      <xdr:colOff>353062</xdr:colOff>
      <xdr:row>120</xdr:row>
      <xdr:rowOff>43183</xdr:rowOff>
    </xdr:to>
    <xdr:cxnSp macro="">
      <xdr:nvCxnSpPr>
        <xdr:cNvPr id="231" name="Straight Connector 230"/>
        <xdr:cNvCxnSpPr/>
      </xdr:nvCxnSpPr>
      <xdr:spPr bwMode="auto">
        <a:xfrm rot="5400000">
          <a:off x="2273300" y="24076661"/>
          <a:ext cx="259082" cy="2"/>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825500</xdr:colOff>
      <xdr:row>118</xdr:row>
      <xdr:rowOff>154942</xdr:rowOff>
    </xdr:from>
    <xdr:to>
      <xdr:col>2</xdr:col>
      <xdr:colOff>828040</xdr:colOff>
      <xdr:row>120</xdr:row>
      <xdr:rowOff>40640</xdr:rowOff>
    </xdr:to>
    <xdr:cxnSp macro="">
      <xdr:nvCxnSpPr>
        <xdr:cNvPr id="233" name="Straight Connector 232"/>
        <xdr:cNvCxnSpPr/>
      </xdr:nvCxnSpPr>
      <xdr:spPr bwMode="auto">
        <a:xfrm rot="16200000" flipH="1">
          <a:off x="2750821" y="24076661"/>
          <a:ext cx="251458" cy="254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393516</xdr:colOff>
      <xdr:row>118</xdr:row>
      <xdr:rowOff>171993</xdr:rowOff>
    </xdr:from>
    <xdr:to>
      <xdr:col>3</xdr:col>
      <xdr:colOff>642256</xdr:colOff>
      <xdr:row>119</xdr:row>
      <xdr:rowOff>167639</xdr:rowOff>
    </xdr:to>
    <xdr:sp macro="" textlink="">
      <xdr:nvSpPr>
        <xdr:cNvPr id="234" name="TextBox 233"/>
        <xdr:cNvSpPr txBox="1"/>
      </xdr:nvSpPr>
      <xdr:spPr>
        <a:xfrm>
          <a:off x="2443296" y="23969253"/>
          <a:ext cx="1117420"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Wheel Spacing</a:t>
          </a:r>
        </a:p>
      </xdr:txBody>
    </xdr:sp>
    <xdr:clientData/>
  </xdr:twoCellAnchor>
  <xdr:twoCellAnchor>
    <xdr:from>
      <xdr:col>1</xdr:col>
      <xdr:colOff>1614170</xdr:colOff>
      <xdr:row>116</xdr:row>
      <xdr:rowOff>15240</xdr:rowOff>
    </xdr:from>
    <xdr:to>
      <xdr:col>2</xdr:col>
      <xdr:colOff>107950</xdr:colOff>
      <xdr:row>116</xdr:row>
      <xdr:rowOff>15240</xdr:rowOff>
    </xdr:to>
    <xdr:cxnSp macro="">
      <xdr:nvCxnSpPr>
        <xdr:cNvPr id="235" name="Straight Connector 234"/>
        <xdr:cNvCxnSpPr/>
      </xdr:nvCxnSpPr>
      <xdr:spPr bwMode="auto">
        <a:xfrm rot="10800000">
          <a:off x="2048510" y="23446740"/>
          <a:ext cx="1092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1614170</xdr:colOff>
      <xdr:row>117</xdr:row>
      <xdr:rowOff>60960</xdr:rowOff>
    </xdr:from>
    <xdr:to>
      <xdr:col>2</xdr:col>
      <xdr:colOff>107950</xdr:colOff>
      <xdr:row>117</xdr:row>
      <xdr:rowOff>60960</xdr:rowOff>
    </xdr:to>
    <xdr:cxnSp macro="">
      <xdr:nvCxnSpPr>
        <xdr:cNvPr id="236" name="Straight Connector 235"/>
        <xdr:cNvCxnSpPr/>
      </xdr:nvCxnSpPr>
      <xdr:spPr bwMode="auto">
        <a:xfrm rot="10800000">
          <a:off x="2048510" y="23675340"/>
          <a:ext cx="1092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1434917</xdr:colOff>
      <xdr:row>116</xdr:row>
      <xdr:rowOff>29753</xdr:rowOff>
    </xdr:from>
    <xdr:to>
      <xdr:col>2</xdr:col>
      <xdr:colOff>100330</xdr:colOff>
      <xdr:row>117</xdr:row>
      <xdr:rowOff>25399</xdr:rowOff>
    </xdr:to>
    <xdr:sp macro="" textlink="">
      <xdr:nvSpPr>
        <xdr:cNvPr id="238" name="TextBox 237"/>
        <xdr:cNvSpPr txBox="1"/>
      </xdr:nvSpPr>
      <xdr:spPr>
        <a:xfrm>
          <a:off x="2052137" y="23461253"/>
          <a:ext cx="9797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a:t>
          </a:r>
        </a:p>
      </xdr:txBody>
    </xdr:sp>
    <xdr:clientData/>
  </xdr:twoCellAnchor>
  <xdr:twoCellAnchor>
    <xdr:from>
      <xdr:col>2</xdr:col>
      <xdr:colOff>13176</xdr:colOff>
      <xdr:row>116</xdr:row>
      <xdr:rowOff>16034</xdr:rowOff>
    </xdr:from>
    <xdr:to>
      <xdr:col>2</xdr:col>
      <xdr:colOff>14764</xdr:colOff>
      <xdr:row>117</xdr:row>
      <xdr:rowOff>61754</xdr:rowOff>
    </xdr:to>
    <xdr:cxnSp macro="">
      <xdr:nvCxnSpPr>
        <xdr:cNvPr id="239" name="Straight Arrow Connector 238"/>
        <xdr:cNvCxnSpPr/>
      </xdr:nvCxnSpPr>
      <xdr:spPr bwMode="auto">
        <a:xfrm rot="5400000">
          <a:off x="1949450" y="23561040"/>
          <a:ext cx="22860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3</xdr:col>
      <xdr:colOff>190863</xdr:colOff>
      <xdr:row>116</xdr:row>
      <xdr:rowOff>134620</xdr:rowOff>
    </xdr:from>
    <xdr:to>
      <xdr:col>3</xdr:col>
      <xdr:colOff>363220</xdr:colOff>
      <xdr:row>116</xdr:row>
      <xdr:rowOff>134620</xdr:rowOff>
    </xdr:to>
    <xdr:cxnSp macro="">
      <xdr:nvCxnSpPr>
        <xdr:cNvPr id="245" name="Straight Connector 244"/>
        <xdr:cNvCxnSpPr/>
      </xdr:nvCxnSpPr>
      <xdr:spPr bwMode="auto">
        <a:xfrm>
          <a:off x="3109323" y="23566120"/>
          <a:ext cx="172357"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xdr:col>
      <xdr:colOff>188323</xdr:colOff>
      <xdr:row>118</xdr:row>
      <xdr:rowOff>86360</xdr:rowOff>
    </xdr:from>
    <xdr:to>
      <xdr:col>3</xdr:col>
      <xdr:colOff>350520</xdr:colOff>
      <xdr:row>118</xdr:row>
      <xdr:rowOff>86360</xdr:rowOff>
    </xdr:to>
    <xdr:cxnSp macro="">
      <xdr:nvCxnSpPr>
        <xdr:cNvPr id="246" name="Straight Connector 245"/>
        <xdr:cNvCxnSpPr/>
      </xdr:nvCxnSpPr>
      <xdr:spPr bwMode="auto">
        <a:xfrm>
          <a:off x="3106783" y="23883620"/>
          <a:ext cx="162197"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xdr:col>
      <xdr:colOff>296386</xdr:colOff>
      <xdr:row>116</xdr:row>
      <xdr:rowOff>135414</xdr:rowOff>
    </xdr:from>
    <xdr:to>
      <xdr:col>3</xdr:col>
      <xdr:colOff>297974</xdr:colOff>
      <xdr:row>118</xdr:row>
      <xdr:rowOff>87154</xdr:rowOff>
    </xdr:to>
    <xdr:cxnSp macro="">
      <xdr:nvCxnSpPr>
        <xdr:cNvPr id="247" name="Straight Arrow Connector 246"/>
        <xdr:cNvCxnSpPr/>
      </xdr:nvCxnSpPr>
      <xdr:spPr bwMode="auto">
        <a:xfrm rot="5400000">
          <a:off x="3056890" y="23724870"/>
          <a:ext cx="31750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3</xdr:col>
      <xdr:colOff>408757</xdr:colOff>
      <xdr:row>115</xdr:row>
      <xdr:rowOff>50072</xdr:rowOff>
    </xdr:from>
    <xdr:to>
      <xdr:col>4</xdr:col>
      <xdr:colOff>189411</xdr:colOff>
      <xdr:row>117</xdr:row>
      <xdr:rowOff>15239</xdr:rowOff>
    </xdr:to>
    <xdr:sp macro="" textlink="">
      <xdr:nvSpPr>
        <xdr:cNvPr id="248" name="TextBox 247"/>
        <xdr:cNvSpPr txBox="1"/>
      </xdr:nvSpPr>
      <xdr:spPr>
        <a:xfrm>
          <a:off x="3327217" y="23298692"/>
          <a:ext cx="634094" cy="330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aseline="0"/>
            <a:t>S</a:t>
          </a:r>
          <a:r>
            <a:rPr lang="en-US" sz="900" baseline="-25000"/>
            <a:t>axle</a:t>
          </a:r>
        </a:p>
      </xdr:txBody>
    </xdr:sp>
    <xdr:clientData/>
  </xdr:twoCellAnchor>
  <xdr:twoCellAnchor>
    <xdr:from>
      <xdr:col>3</xdr:col>
      <xdr:colOff>297180</xdr:colOff>
      <xdr:row>116</xdr:row>
      <xdr:rowOff>66040</xdr:rowOff>
    </xdr:from>
    <xdr:to>
      <xdr:col>3</xdr:col>
      <xdr:colOff>441960</xdr:colOff>
      <xdr:row>117</xdr:row>
      <xdr:rowOff>116840</xdr:rowOff>
    </xdr:to>
    <xdr:cxnSp macro="">
      <xdr:nvCxnSpPr>
        <xdr:cNvPr id="256" name="Straight Connector 255"/>
        <xdr:cNvCxnSpPr/>
      </xdr:nvCxnSpPr>
      <xdr:spPr bwMode="auto">
        <a:xfrm rot="5400000" flipH="1" flipV="1">
          <a:off x="3171190" y="23541990"/>
          <a:ext cx="233680" cy="14478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xdr:col>
      <xdr:colOff>441960</xdr:colOff>
      <xdr:row>116</xdr:row>
      <xdr:rowOff>66040</xdr:rowOff>
    </xdr:from>
    <xdr:to>
      <xdr:col>3</xdr:col>
      <xdr:colOff>723900</xdr:colOff>
      <xdr:row>116</xdr:row>
      <xdr:rowOff>66040</xdr:rowOff>
    </xdr:to>
    <xdr:cxnSp macro="">
      <xdr:nvCxnSpPr>
        <xdr:cNvPr id="258" name="Straight Connector 257"/>
        <xdr:cNvCxnSpPr/>
      </xdr:nvCxnSpPr>
      <xdr:spPr bwMode="auto">
        <a:xfrm>
          <a:off x="3360420" y="23497540"/>
          <a:ext cx="28194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130813</xdr:colOff>
      <xdr:row>119</xdr:row>
      <xdr:rowOff>43179</xdr:rowOff>
    </xdr:from>
    <xdr:to>
      <xdr:col>2</xdr:col>
      <xdr:colOff>130813</xdr:colOff>
      <xdr:row>121</xdr:row>
      <xdr:rowOff>35562</xdr:rowOff>
    </xdr:to>
    <xdr:cxnSp macro="">
      <xdr:nvCxnSpPr>
        <xdr:cNvPr id="259" name="Straight Connector 258"/>
        <xdr:cNvCxnSpPr/>
      </xdr:nvCxnSpPr>
      <xdr:spPr bwMode="auto">
        <a:xfrm rot="5400000">
          <a:off x="2001521" y="24202391"/>
          <a:ext cx="358143"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585471</xdr:colOff>
      <xdr:row>119</xdr:row>
      <xdr:rowOff>149860</xdr:rowOff>
    </xdr:from>
    <xdr:to>
      <xdr:col>2</xdr:col>
      <xdr:colOff>585471</xdr:colOff>
      <xdr:row>121</xdr:row>
      <xdr:rowOff>20319</xdr:rowOff>
    </xdr:to>
    <xdr:cxnSp macro="">
      <xdr:nvCxnSpPr>
        <xdr:cNvPr id="260" name="Straight Connector 259"/>
        <xdr:cNvCxnSpPr/>
      </xdr:nvCxnSpPr>
      <xdr:spPr bwMode="auto">
        <a:xfrm rot="5400000">
          <a:off x="2517141" y="24248110"/>
          <a:ext cx="23621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130810</xdr:colOff>
      <xdr:row>120</xdr:row>
      <xdr:rowOff>152401</xdr:rowOff>
    </xdr:from>
    <xdr:to>
      <xdr:col>2</xdr:col>
      <xdr:colOff>586105</xdr:colOff>
      <xdr:row>120</xdr:row>
      <xdr:rowOff>152403</xdr:rowOff>
    </xdr:to>
    <xdr:cxnSp macro="">
      <xdr:nvCxnSpPr>
        <xdr:cNvPr id="262" name="Straight Arrow Connector 261"/>
        <xdr:cNvCxnSpPr/>
      </xdr:nvCxnSpPr>
      <xdr:spPr bwMode="auto">
        <a:xfrm flipV="1">
          <a:off x="2180590" y="24315421"/>
          <a:ext cx="455295" cy="2"/>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2</xdr:col>
      <xdr:colOff>606425</xdr:colOff>
      <xdr:row>119</xdr:row>
      <xdr:rowOff>151766</xdr:rowOff>
    </xdr:from>
    <xdr:to>
      <xdr:col>2</xdr:col>
      <xdr:colOff>606425</xdr:colOff>
      <xdr:row>121</xdr:row>
      <xdr:rowOff>22860</xdr:rowOff>
    </xdr:to>
    <xdr:cxnSp macro="">
      <xdr:nvCxnSpPr>
        <xdr:cNvPr id="267" name="Straight Connector 266"/>
        <xdr:cNvCxnSpPr/>
      </xdr:nvCxnSpPr>
      <xdr:spPr bwMode="auto">
        <a:xfrm rot="5400000">
          <a:off x="2537778" y="24250333"/>
          <a:ext cx="236854"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488951</xdr:colOff>
      <xdr:row>120</xdr:row>
      <xdr:rowOff>39370</xdr:rowOff>
    </xdr:from>
    <xdr:to>
      <xdr:col>4</xdr:col>
      <xdr:colOff>534670</xdr:colOff>
      <xdr:row>120</xdr:row>
      <xdr:rowOff>85089</xdr:rowOff>
    </xdr:to>
    <xdr:sp macro="" textlink="">
      <xdr:nvSpPr>
        <xdr:cNvPr id="269" name="Oval 268"/>
        <xdr:cNvSpPr/>
      </xdr:nvSpPr>
      <xdr:spPr bwMode="auto">
        <a:xfrm>
          <a:off x="4260851" y="2420239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5</xdr:col>
      <xdr:colOff>82551</xdr:colOff>
      <xdr:row>120</xdr:row>
      <xdr:rowOff>39370</xdr:rowOff>
    </xdr:from>
    <xdr:to>
      <xdr:col>5</xdr:col>
      <xdr:colOff>128270</xdr:colOff>
      <xdr:row>120</xdr:row>
      <xdr:rowOff>85089</xdr:rowOff>
    </xdr:to>
    <xdr:sp macro="" textlink="">
      <xdr:nvSpPr>
        <xdr:cNvPr id="271" name="Oval 270"/>
        <xdr:cNvSpPr/>
      </xdr:nvSpPr>
      <xdr:spPr bwMode="auto">
        <a:xfrm>
          <a:off x="4563111" y="2420239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631007</xdr:colOff>
      <xdr:row>115</xdr:row>
      <xdr:rowOff>36103</xdr:rowOff>
    </xdr:from>
    <xdr:to>
      <xdr:col>5</xdr:col>
      <xdr:colOff>172720</xdr:colOff>
      <xdr:row>116</xdr:row>
      <xdr:rowOff>31749</xdr:rowOff>
    </xdr:to>
    <xdr:sp macro="" textlink="">
      <xdr:nvSpPr>
        <xdr:cNvPr id="273" name="TextBox 272"/>
        <xdr:cNvSpPr txBox="1"/>
      </xdr:nvSpPr>
      <xdr:spPr>
        <a:xfrm>
          <a:off x="4402907" y="23284723"/>
          <a:ext cx="25037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5</xdr:col>
      <xdr:colOff>52071</xdr:colOff>
      <xdr:row>115</xdr:row>
      <xdr:rowOff>115570</xdr:rowOff>
    </xdr:from>
    <xdr:to>
      <xdr:col>5</xdr:col>
      <xdr:colOff>97790</xdr:colOff>
      <xdr:row>115</xdr:row>
      <xdr:rowOff>161289</xdr:rowOff>
    </xdr:to>
    <xdr:sp macro="" textlink="">
      <xdr:nvSpPr>
        <xdr:cNvPr id="274" name="Oval 273"/>
        <xdr:cNvSpPr/>
      </xdr:nvSpPr>
      <xdr:spPr bwMode="auto">
        <a:xfrm>
          <a:off x="4532631" y="2336419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625927</xdr:colOff>
      <xdr:row>114</xdr:row>
      <xdr:rowOff>57693</xdr:rowOff>
    </xdr:from>
    <xdr:to>
      <xdr:col>5</xdr:col>
      <xdr:colOff>167640</xdr:colOff>
      <xdr:row>115</xdr:row>
      <xdr:rowOff>53339</xdr:rowOff>
    </xdr:to>
    <xdr:sp macro="" textlink="">
      <xdr:nvSpPr>
        <xdr:cNvPr id="276" name="TextBox 275"/>
        <xdr:cNvSpPr txBox="1"/>
      </xdr:nvSpPr>
      <xdr:spPr>
        <a:xfrm>
          <a:off x="4397827" y="23123433"/>
          <a:ext cx="25037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5</xdr:col>
      <xdr:colOff>49531</xdr:colOff>
      <xdr:row>114</xdr:row>
      <xdr:rowOff>134620</xdr:rowOff>
    </xdr:from>
    <xdr:to>
      <xdr:col>5</xdr:col>
      <xdr:colOff>95250</xdr:colOff>
      <xdr:row>114</xdr:row>
      <xdr:rowOff>180339</xdr:rowOff>
    </xdr:to>
    <xdr:sp macro="" textlink="">
      <xdr:nvSpPr>
        <xdr:cNvPr id="278" name="Oval 277"/>
        <xdr:cNvSpPr/>
      </xdr:nvSpPr>
      <xdr:spPr bwMode="auto">
        <a:xfrm>
          <a:off x="4530091" y="2320036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259080</xdr:colOff>
      <xdr:row>114</xdr:row>
      <xdr:rowOff>38100</xdr:rowOff>
    </xdr:from>
    <xdr:to>
      <xdr:col>4</xdr:col>
      <xdr:colOff>599440</xdr:colOff>
      <xdr:row>114</xdr:row>
      <xdr:rowOff>38100</xdr:rowOff>
    </xdr:to>
    <xdr:cxnSp macro="">
      <xdr:nvCxnSpPr>
        <xdr:cNvPr id="280" name="Straight Connector 279"/>
        <xdr:cNvCxnSpPr/>
      </xdr:nvCxnSpPr>
      <xdr:spPr bwMode="auto">
        <a:xfrm rot="10800000">
          <a:off x="4030980" y="23103840"/>
          <a:ext cx="34036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452120</xdr:colOff>
      <xdr:row>115</xdr:row>
      <xdr:rowOff>83820</xdr:rowOff>
    </xdr:from>
    <xdr:to>
      <xdr:col>4</xdr:col>
      <xdr:colOff>599440</xdr:colOff>
      <xdr:row>115</xdr:row>
      <xdr:rowOff>83820</xdr:rowOff>
    </xdr:to>
    <xdr:cxnSp macro="">
      <xdr:nvCxnSpPr>
        <xdr:cNvPr id="281" name="Straight Connector 280"/>
        <xdr:cNvCxnSpPr/>
      </xdr:nvCxnSpPr>
      <xdr:spPr bwMode="auto">
        <a:xfrm rot="10800000">
          <a:off x="4224020" y="2333244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272867</xdr:colOff>
      <xdr:row>114</xdr:row>
      <xdr:rowOff>52612</xdr:rowOff>
    </xdr:from>
    <xdr:to>
      <xdr:col>4</xdr:col>
      <xdr:colOff>591820</xdr:colOff>
      <xdr:row>115</xdr:row>
      <xdr:rowOff>87629</xdr:rowOff>
    </xdr:to>
    <xdr:sp macro="" textlink="">
      <xdr:nvSpPr>
        <xdr:cNvPr id="286" name="TextBox 285"/>
        <xdr:cNvSpPr txBox="1"/>
      </xdr:nvSpPr>
      <xdr:spPr>
        <a:xfrm>
          <a:off x="4044767" y="23118352"/>
          <a:ext cx="318953" cy="217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a:t>
          </a:r>
        </a:p>
      </xdr:txBody>
    </xdr:sp>
    <xdr:clientData/>
  </xdr:twoCellAnchor>
  <xdr:twoCellAnchor>
    <xdr:from>
      <xdr:col>4</xdr:col>
      <xdr:colOff>504666</xdr:colOff>
      <xdr:row>114</xdr:row>
      <xdr:rowOff>38894</xdr:rowOff>
    </xdr:from>
    <xdr:to>
      <xdr:col>4</xdr:col>
      <xdr:colOff>506254</xdr:colOff>
      <xdr:row>115</xdr:row>
      <xdr:rowOff>84614</xdr:rowOff>
    </xdr:to>
    <xdr:cxnSp macro="">
      <xdr:nvCxnSpPr>
        <xdr:cNvPr id="287" name="Straight Arrow Connector 286"/>
        <xdr:cNvCxnSpPr/>
      </xdr:nvCxnSpPr>
      <xdr:spPr bwMode="auto">
        <a:xfrm rot="5400000">
          <a:off x="4163060" y="23218140"/>
          <a:ext cx="22860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5</xdr:col>
      <xdr:colOff>347162</xdr:colOff>
      <xdr:row>115</xdr:row>
      <xdr:rowOff>39278</xdr:rowOff>
    </xdr:from>
    <xdr:to>
      <xdr:col>5</xdr:col>
      <xdr:colOff>666115</xdr:colOff>
      <xdr:row>116</xdr:row>
      <xdr:rowOff>64770</xdr:rowOff>
    </xdr:to>
    <xdr:sp macro="" textlink="">
      <xdr:nvSpPr>
        <xdr:cNvPr id="288" name="TextBox 287"/>
        <xdr:cNvSpPr txBox="1"/>
      </xdr:nvSpPr>
      <xdr:spPr>
        <a:xfrm>
          <a:off x="4827722" y="23287898"/>
          <a:ext cx="303713" cy="208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a:t>
          </a:r>
        </a:p>
      </xdr:txBody>
    </xdr:sp>
    <xdr:clientData/>
  </xdr:twoCellAnchor>
  <xdr:twoCellAnchor>
    <xdr:from>
      <xdr:col>5</xdr:col>
      <xdr:colOff>388461</xdr:colOff>
      <xdr:row>115</xdr:row>
      <xdr:rowOff>17939</xdr:rowOff>
    </xdr:from>
    <xdr:to>
      <xdr:col>5</xdr:col>
      <xdr:colOff>390049</xdr:colOff>
      <xdr:row>116</xdr:row>
      <xdr:rowOff>63659</xdr:rowOff>
    </xdr:to>
    <xdr:cxnSp macro="">
      <xdr:nvCxnSpPr>
        <xdr:cNvPr id="289" name="Straight Arrow Connector 288"/>
        <xdr:cNvCxnSpPr/>
      </xdr:nvCxnSpPr>
      <xdr:spPr bwMode="auto">
        <a:xfrm rot="5400000">
          <a:off x="4755515" y="23380065"/>
          <a:ext cx="22860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619125</xdr:colOff>
      <xdr:row>114</xdr:row>
      <xdr:rowOff>34290</xdr:rowOff>
    </xdr:from>
    <xdr:to>
      <xdr:col>5</xdr:col>
      <xdr:colOff>300990</xdr:colOff>
      <xdr:row>115</xdr:row>
      <xdr:rowOff>13335</xdr:rowOff>
    </xdr:to>
    <xdr:sp macro="" textlink="">
      <xdr:nvSpPr>
        <xdr:cNvPr id="290" name="Rectangle 289"/>
        <xdr:cNvSpPr/>
      </xdr:nvSpPr>
      <xdr:spPr bwMode="auto">
        <a:xfrm>
          <a:off x="4391025" y="23100030"/>
          <a:ext cx="390525" cy="161925"/>
        </a:xfrm>
        <a:prstGeom prst="rect">
          <a:avLst/>
        </a:prstGeom>
        <a:solidFill>
          <a:schemeClr val="accent4">
            <a:lumMod val="40000"/>
            <a:lumOff val="6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619125</xdr:colOff>
      <xdr:row>115</xdr:row>
      <xdr:rowOff>15240</xdr:rowOff>
    </xdr:from>
    <xdr:to>
      <xdr:col>5</xdr:col>
      <xdr:colOff>302895</xdr:colOff>
      <xdr:row>115</xdr:row>
      <xdr:rowOff>80010</xdr:rowOff>
    </xdr:to>
    <xdr:sp macro="" textlink="">
      <xdr:nvSpPr>
        <xdr:cNvPr id="291" name="Rectangle 290"/>
        <xdr:cNvSpPr/>
      </xdr:nvSpPr>
      <xdr:spPr bwMode="auto">
        <a:xfrm>
          <a:off x="4391025" y="23263860"/>
          <a:ext cx="392430" cy="64770"/>
        </a:xfrm>
        <a:prstGeom prst="rect">
          <a:avLst/>
        </a:prstGeom>
        <a:solidFill>
          <a:srgbClr val="FFC000"/>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619125</xdr:colOff>
      <xdr:row>115</xdr:row>
      <xdr:rowOff>80010</xdr:rowOff>
    </xdr:from>
    <xdr:to>
      <xdr:col>5</xdr:col>
      <xdr:colOff>299085</xdr:colOff>
      <xdr:row>116</xdr:row>
      <xdr:rowOff>64770</xdr:rowOff>
    </xdr:to>
    <xdr:sp macro="" textlink="">
      <xdr:nvSpPr>
        <xdr:cNvPr id="292" name="Rectangle 291"/>
        <xdr:cNvSpPr/>
      </xdr:nvSpPr>
      <xdr:spPr bwMode="auto">
        <a:xfrm>
          <a:off x="4391025" y="23328630"/>
          <a:ext cx="388620" cy="167640"/>
        </a:xfrm>
        <a:prstGeom prst="rect">
          <a:avLst/>
        </a:prstGeom>
        <a:solidFill>
          <a:schemeClr val="tx2">
            <a:lumMod val="40000"/>
            <a:lumOff val="6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5</xdr:col>
      <xdr:colOff>318770</xdr:colOff>
      <xdr:row>115</xdr:row>
      <xdr:rowOff>19050</xdr:rowOff>
    </xdr:from>
    <xdr:to>
      <xdr:col>5</xdr:col>
      <xdr:colOff>466090</xdr:colOff>
      <xdr:row>115</xdr:row>
      <xdr:rowOff>19050</xdr:rowOff>
    </xdr:to>
    <xdr:cxnSp macro="">
      <xdr:nvCxnSpPr>
        <xdr:cNvPr id="293" name="Straight Connector 292"/>
        <xdr:cNvCxnSpPr/>
      </xdr:nvCxnSpPr>
      <xdr:spPr bwMode="auto">
        <a:xfrm rot="10800000">
          <a:off x="4799330" y="2326767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5</xdr:col>
      <xdr:colOff>318770</xdr:colOff>
      <xdr:row>116</xdr:row>
      <xdr:rowOff>64770</xdr:rowOff>
    </xdr:from>
    <xdr:to>
      <xdr:col>5</xdr:col>
      <xdr:colOff>466090</xdr:colOff>
      <xdr:row>116</xdr:row>
      <xdr:rowOff>64770</xdr:rowOff>
    </xdr:to>
    <xdr:cxnSp macro="">
      <xdr:nvCxnSpPr>
        <xdr:cNvPr id="294" name="Straight Connector 293"/>
        <xdr:cNvCxnSpPr/>
      </xdr:nvCxnSpPr>
      <xdr:spPr bwMode="auto">
        <a:xfrm rot="10800000">
          <a:off x="4799330" y="2349627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264795</xdr:colOff>
      <xdr:row>116</xdr:row>
      <xdr:rowOff>62865</xdr:rowOff>
    </xdr:from>
    <xdr:to>
      <xdr:col>4</xdr:col>
      <xdr:colOff>605155</xdr:colOff>
      <xdr:row>116</xdr:row>
      <xdr:rowOff>62865</xdr:rowOff>
    </xdr:to>
    <xdr:cxnSp macro="">
      <xdr:nvCxnSpPr>
        <xdr:cNvPr id="295" name="Straight Connector 294"/>
        <xdr:cNvCxnSpPr/>
      </xdr:nvCxnSpPr>
      <xdr:spPr bwMode="auto">
        <a:xfrm rot="10800000">
          <a:off x="4036695" y="23494365"/>
          <a:ext cx="34036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311151</xdr:colOff>
      <xdr:row>114</xdr:row>
      <xdr:rowOff>39687</xdr:rowOff>
    </xdr:from>
    <xdr:to>
      <xdr:col>4</xdr:col>
      <xdr:colOff>312739</xdr:colOff>
      <xdr:row>116</xdr:row>
      <xdr:rowOff>56038</xdr:rowOff>
    </xdr:to>
    <xdr:cxnSp macro="">
      <xdr:nvCxnSpPr>
        <xdr:cNvPr id="296" name="Straight Arrow Connector 295"/>
        <xdr:cNvCxnSpPr/>
      </xdr:nvCxnSpPr>
      <xdr:spPr bwMode="auto">
        <a:xfrm rot="5400000">
          <a:off x="3892789" y="23295689"/>
          <a:ext cx="382111"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3</xdr:col>
      <xdr:colOff>893897</xdr:colOff>
      <xdr:row>114</xdr:row>
      <xdr:rowOff>109762</xdr:rowOff>
    </xdr:from>
    <xdr:to>
      <xdr:col>4</xdr:col>
      <xdr:colOff>400050</xdr:colOff>
      <xdr:row>115</xdr:row>
      <xdr:rowOff>144779</xdr:rowOff>
    </xdr:to>
    <xdr:sp macro="" textlink="">
      <xdr:nvSpPr>
        <xdr:cNvPr id="297" name="TextBox 296"/>
        <xdr:cNvSpPr txBox="1"/>
      </xdr:nvSpPr>
      <xdr:spPr>
        <a:xfrm>
          <a:off x="3774257" y="23175502"/>
          <a:ext cx="397693" cy="217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 (total)</a:t>
          </a:r>
          <a:r>
            <a:rPr lang="en-US" sz="700" baseline="0"/>
            <a:t> </a:t>
          </a:r>
        </a:p>
      </xdr:txBody>
    </xdr:sp>
    <xdr:clientData/>
  </xdr:twoCellAnchor>
  <xdr:twoCellAnchor>
    <xdr:from>
      <xdr:col>5</xdr:col>
      <xdr:colOff>306074</xdr:colOff>
      <xdr:row>116</xdr:row>
      <xdr:rowOff>78736</xdr:rowOff>
    </xdr:from>
    <xdr:to>
      <xdr:col>5</xdr:col>
      <xdr:colOff>306074</xdr:colOff>
      <xdr:row>117</xdr:row>
      <xdr:rowOff>38099</xdr:rowOff>
    </xdr:to>
    <xdr:cxnSp macro="">
      <xdr:nvCxnSpPr>
        <xdr:cNvPr id="298" name="Straight Connector 297"/>
        <xdr:cNvCxnSpPr/>
      </xdr:nvCxnSpPr>
      <xdr:spPr bwMode="auto">
        <a:xfrm rot="5400000">
          <a:off x="4715512" y="23581358"/>
          <a:ext cx="142243"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615315</xdr:colOff>
      <xdr:row>117</xdr:row>
      <xdr:rowOff>2223</xdr:rowOff>
    </xdr:from>
    <xdr:to>
      <xdr:col>5</xdr:col>
      <xdr:colOff>302260</xdr:colOff>
      <xdr:row>117</xdr:row>
      <xdr:rowOff>3811</xdr:rowOff>
    </xdr:to>
    <xdr:cxnSp macro="">
      <xdr:nvCxnSpPr>
        <xdr:cNvPr id="299" name="Straight Arrow Connector 298"/>
        <xdr:cNvCxnSpPr/>
      </xdr:nvCxnSpPr>
      <xdr:spPr bwMode="auto">
        <a:xfrm>
          <a:off x="4387215" y="23616603"/>
          <a:ext cx="395605"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704032</xdr:colOff>
      <xdr:row>116</xdr:row>
      <xdr:rowOff>14513</xdr:rowOff>
    </xdr:from>
    <xdr:to>
      <xdr:col>5</xdr:col>
      <xdr:colOff>245745</xdr:colOff>
      <xdr:row>117</xdr:row>
      <xdr:rowOff>48895</xdr:rowOff>
    </xdr:to>
    <xdr:sp macro="" textlink="">
      <xdr:nvSpPr>
        <xdr:cNvPr id="300" name="TextBox 299"/>
        <xdr:cNvSpPr txBox="1"/>
      </xdr:nvSpPr>
      <xdr:spPr>
        <a:xfrm>
          <a:off x="4475932" y="23446013"/>
          <a:ext cx="250373" cy="21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a:t>
          </a:r>
          <a:r>
            <a:rPr lang="en-US" sz="700" baseline="0"/>
            <a:t> </a:t>
          </a:r>
        </a:p>
      </xdr:txBody>
    </xdr:sp>
    <xdr:clientData/>
  </xdr:twoCellAnchor>
  <xdr:twoCellAnchor>
    <xdr:from>
      <xdr:col>4</xdr:col>
      <xdr:colOff>616585</xdr:colOff>
      <xdr:row>116</xdr:row>
      <xdr:rowOff>86360</xdr:rowOff>
    </xdr:from>
    <xdr:to>
      <xdr:col>4</xdr:col>
      <xdr:colOff>616585</xdr:colOff>
      <xdr:row>117</xdr:row>
      <xdr:rowOff>38100</xdr:rowOff>
    </xdr:to>
    <xdr:cxnSp macro="">
      <xdr:nvCxnSpPr>
        <xdr:cNvPr id="301" name="Straight Connector 300"/>
        <xdr:cNvCxnSpPr/>
      </xdr:nvCxnSpPr>
      <xdr:spPr bwMode="auto">
        <a:xfrm rot="5400000">
          <a:off x="4321175" y="23585170"/>
          <a:ext cx="1346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5</xdr:col>
      <xdr:colOff>32837</xdr:colOff>
      <xdr:row>115</xdr:row>
      <xdr:rowOff>53248</xdr:rowOff>
    </xdr:from>
    <xdr:to>
      <xdr:col>5</xdr:col>
      <xdr:colOff>351790</xdr:colOff>
      <xdr:row>116</xdr:row>
      <xdr:rowOff>48894</xdr:rowOff>
    </xdr:to>
    <xdr:sp macro="" textlink="">
      <xdr:nvSpPr>
        <xdr:cNvPr id="302" name="TextBox 301"/>
        <xdr:cNvSpPr txBox="1"/>
      </xdr:nvSpPr>
      <xdr:spPr>
        <a:xfrm>
          <a:off x="4513397" y="23301868"/>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5</xdr:col>
      <xdr:colOff>52071</xdr:colOff>
      <xdr:row>115</xdr:row>
      <xdr:rowOff>119380</xdr:rowOff>
    </xdr:from>
    <xdr:to>
      <xdr:col>5</xdr:col>
      <xdr:colOff>97790</xdr:colOff>
      <xdr:row>115</xdr:row>
      <xdr:rowOff>165099</xdr:rowOff>
    </xdr:to>
    <xdr:sp macro="" textlink="">
      <xdr:nvSpPr>
        <xdr:cNvPr id="303" name="Oval 302"/>
        <xdr:cNvSpPr/>
      </xdr:nvSpPr>
      <xdr:spPr bwMode="auto">
        <a:xfrm>
          <a:off x="4532631" y="2336800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5</xdr:col>
      <xdr:colOff>39187</xdr:colOff>
      <xdr:row>114</xdr:row>
      <xdr:rowOff>38643</xdr:rowOff>
    </xdr:from>
    <xdr:to>
      <xdr:col>5</xdr:col>
      <xdr:colOff>358140</xdr:colOff>
      <xdr:row>115</xdr:row>
      <xdr:rowOff>34289</xdr:rowOff>
    </xdr:to>
    <xdr:sp macro="" textlink="">
      <xdr:nvSpPr>
        <xdr:cNvPr id="304" name="TextBox 303"/>
        <xdr:cNvSpPr txBox="1"/>
      </xdr:nvSpPr>
      <xdr:spPr>
        <a:xfrm>
          <a:off x="4519747" y="2310438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5</xdr:col>
      <xdr:colOff>55246</xdr:colOff>
      <xdr:row>114</xdr:row>
      <xdr:rowOff>117475</xdr:rowOff>
    </xdr:from>
    <xdr:to>
      <xdr:col>5</xdr:col>
      <xdr:colOff>100965</xdr:colOff>
      <xdr:row>114</xdr:row>
      <xdr:rowOff>163194</xdr:rowOff>
    </xdr:to>
    <xdr:sp macro="" textlink="">
      <xdr:nvSpPr>
        <xdr:cNvPr id="305" name="Oval 304"/>
        <xdr:cNvSpPr/>
      </xdr:nvSpPr>
      <xdr:spPr bwMode="auto">
        <a:xfrm>
          <a:off x="4535806" y="23183215"/>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xdr:col>
      <xdr:colOff>687704</xdr:colOff>
      <xdr:row>117</xdr:row>
      <xdr:rowOff>64770</xdr:rowOff>
    </xdr:from>
    <xdr:to>
      <xdr:col>7</xdr:col>
      <xdr:colOff>106680</xdr:colOff>
      <xdr:row>119</xdr:row>
      <xdr:rowOff>88900</xdr:rowOff>
    </xdr:to>
    <xdr:sp macro="" textlink="">
      <xdr:nvSpPr>
        <xdr:cNvPr id="306" name="TextBox 305"/>
        <xdr:cNvSpPr txBox="1"/>
      </xdr:nvSpPr>
      <xdr:spPr>
        <a:xfrm>
          <a:off x="3606164" y="23679150"/>
          <a:ext cx="2223136" cy="38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700" b="1" u="sng"/>
            <a:t>Axle loads distributed area </a:t>
          </a:r>
        </a:p>
        <a:p>
          <a:pPr algn="ctr"/>
          <a:r>
            <a:rPr lang="en-US" sz="700" b="0" u="none"/>
            <a:t> (overlapping along</a:t>
          </a:r>
          <a:r>
            <a:rPr lang="en-US" sz="700" b="0" u="none" baseline="0"/>
            <a:t> the direction of travel</a:t>
          </a:r>
          <a:r>
            <a:rPr lang="en-US" sz="700" b="0" u="none"/>
            <a:t>)</a:t>
          </a:r>
          <a:r>
            <a:rPr lang="en-US" sz="700" b="0" u="none" baseline="0"/>
            <a:t> </a:t>
          </a:r>
        </a:p>
      </xdr:txBody>
    </xdr:sp>
    <xdr:clientData/>
  </xdr:twoCellAnchor>
  <xdr:twoCellAnchor>
    <xdr:from>
      <xdr:col>2</xdr:col>
      <xdr:colOff>597376</xdr:colOff>
      <xdr:row>114</xdr:row>
      <xdr:rowOff>38894</xdr:rowOff>
    </xdr:from>
    <xdr:to>
      <xdr:col>2</xdr:col>
      <xdr:colOff>598964</xdr:colOff>
      <xdr:row>115</xdr:row>
      <xdr:rowOff>153194</xdr:rowOff>
    </xdr:to>
    <xdr:cxnSp macro="">
      <xdr:nvCxnSpPr>
        <xdr:cNvPr id="307" name="Straight Arrow Connector 306"/>
        <xdr:cNvCxnSpPr/>
      </xdr:nvCxnSpPr>
      <xdr:spPr bwMode="auto">
        <a:xfrm rot="5400000">
          <a:off x="2499360" y="23252430"/>
          <a:ext cx="297180" cy="1588"/>
        </a:xfrm>
        <a:prstGeom prst="straightConnector1">
          <a:avLst/>
        </a:prstGeom>
        <a:solidFill>
          <a:srgbClr val="FFFFFF"/>
        </a:solidFill>
        <a:ln w="3175" cap="flat" cmpd="sng" algn="ctr">
          <a:solidFill>
            <a:srgbClr val="000000"/>
          </a:solidFill>
          <a:prstDash val="solid"/>
          <a:round/>
          <a:headEnd type="stealth" w="med" len="med"/>
          <a:tailEnd type="stealth"/>
        </a:ln>
        <a:effectLst/>
      </xdr:spPr>
    </xdr:cxnSp>
    <xdr:clientData/>
  </xdr:twoCellAnchor>
  <xdr:twoCellAnchor>
    <xdr:from>
      <xdr:col>2</xdr:col>
      <xdr:colOff>525215</xdr:colOff>
      <xdr:row>114</xdr:row>
      <xdr:rowOff>86765</xdr:rowOff>
    </xdr:from>
    <xdr:to>
      <xdr:col>3</xdr:col>
      <xdr:colOff>745671</xdr:colOff>
      <xdr:row>115</xdr:row>
      <xdr:rowOff>106341</xdr:rowOff>
    </xdr:to>
    <xdr:sp macro="" textlink="">
      <xdr:nvSpPr>
        <xdr:cNvPr id="308" name="TextBox 307"/>
        <xdr:cNvSpPr txBox="1"/>
      </xdr:nvSpPr>
      <xdr:spPr>
        <a:xfrm>
          <a:off x="2574995" y="23152505"/>
          <a:ext cx="1089136" cy="20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spc="0" baseline="0"/>
            <a:t>Direction of Travel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41</xdr:row>
      <xdr:rowOff>0</xdr:rowOff>
    </xdr:from>
    <xdr:to>
      <xdr:col>19</xdr:col>
      <xdr:colOff>327660</xdr:colOff>
      <xdr:row>131</xdr:row>
      <xdr:rowOff>99060</xdr:rowOff>
    </xdr:to>
    <xdr:sp macro="" textlink="">
      <xdr:nvSpPr>
        <xdr:cNvPr id="2" name="AutoShape 4"/>
        <xdr:cNvSpPr>
          <a:spLocks noChangeAspect="1" noChangeArrowheads="1" noTextEdit="1"/>
        </xdr:cNvSpPr>
      </xdr:nvSpPr>
      <xdr:spPr bwMode="auto">
        <a:xfrm>
          <a:off x="259080" y="6873240"/>
          <a:ext cx="10675620" cy="15186660"/>
        </a:xfrm>
        <a:prstGeom prst="rect">
          <a:avLst/>
        </a:prstGeom>
        <a:noFill/>
        <a:ln w="9525">
          <a:noFill/>
          <a:miter lim="800000"/>
          <a:headEnd/>
          <a:tailEnd/>
        </a:ln>
      </xdr:spPr>
    </xdr:sp>
    <xdr:clientData/>
  </xdr:twoCellAnchor>
  <xdr:twoCellAnchor editAs="oneCell">
    <xdr:from>
      <xdr:col>17</xdr:col>
      <xdr:colOff>167640</xdr:colOff>
      <xdr:row>1</xdr:row>
      <xdr:rowOff>0</xdr:rowOff>
    </xdr:from>
    <xdr:to>
      <xdr:col>25</xdr:col>
      <xdr:colOff>601980</xdr:colOff>
      <xdr:row>40</xdr:row>
      <xdr:rowOff>160020</xdr:rowOff>
    </xdr:to>
    <xdr:pic>
      <xdr:nvPicPr>
        <xdr:cNvPr id="4"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9997440" y="167640"/>
          <a:ext cx="5036820" cy="6697980"/>
        </a:xfrm>
        <a:prstGeom prst="rect">
          <a:avLst/>
        </a:prstGeom>
        <a:noFill/>
      </xdr:spPr>
    </xdr:pic>
    <xdr:clientData/>
  </xdr:twoCellAnchor>
  <xdr:twoCellAnchor editAs="oneCell">
    <xdr:from>
      <xdr:col>9</xdr:col>
      <xdr:colOff>0</xdr:colOff>
      <xdr:row>1</xdr:row>
      <xdr:rowOff>0</xdr:rowOff>
    </xdr:from>
    <xdr:to>
      <xdr:col>17</xdr:col>
      <xdr:colOff>22860</xdr:colOff>
      <xdr:row>40</xdr:row>
      <xdr:rowOff>121920</xdr:rowOff>
    </xdr:to>
    <xdr:pic>
      <xdr:nvPicPr>
        <xdr:cNvPr id="5"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5105400" y="167640"/>
          <a:ext cx="4960620" cy="6659880"/>
        </a:xfrm>
        <a:prstGeom prst="rect">
          <a:avLst/>
        </a:prstGeom>
        <a:noFill/>
      </xdr:spPr>
    </xdr:pic>
    <xdr:clientData/>
  </xdr:twoCellAnchor>
  <xdr:twoCellAnchor editAs="oneCell">
    <xdr:from>
      <xdr:col>26</xdr:col>
      <xdr:colOff>91440</xdr:colOff>
      <xdr:row>0</xdr:row>
      <xdr:rowOff>137160</xdr:rowOff>
    </xdr:from>
    <xdr:to>
      <xdr:col>36</xdr:col>
      <xdr:colOff>1470660</xdr:colOff>
      <xdr:row>40</xdr:row>
      <xdr:rowOff>83820</xdr:rowOff>
    </xdr:to>
    <xdr:pic>
      <xdr:nvPicPr>
        <xdr:cNvPr id="6" name="Picture 12"/>
        <xdr:cNvPicPr>
          <a:picLocks noChangeAspect="1" noChangeArrowheads="1"/>
        </xdr:cNvPicPr>
      </xdr:nvPicPr>
      <xdr:blipFill>
        <a:blip xmlns:r="http://schemas.openxmlformats.org/officeDocument/2006/relationships" r:embed="rId3" cstate="print"/>
        <a:srcRect/>
        <a:stretch>
          <a:fillRect/>
        </a:stretch>
      </xdr:blipFill>
      <xdr:spPr bwMode="auto">
        <a:xfrm rot="60000">
          <a:off x="16931640" y="137160"/>
          <a:ext cx="5631180" cy="6652260"/>
        </a:xfrm>
        <a:prstGeom prst="rect">
          <a:avLst/>
        </a:prstGeom>
        <a:noFill/>
      </xdr:spPr>
    </xdr:pic>
    <xdr:clientData/>
  </xdr:twoCellAnchor>
  <xdr:twoCellAnchor editAs="oneCell">
    <xdr:from>
      <xdr:col>36</xdr:col>
      <xdr:colOff>1501140</xdr:colOff>
      <xdr:row>0</xdr:row>
      <xdr:rowOff>106680</xdr:rowOff>
    </xdr:from>
    <xdr:to>
      <xdr:col>46</xdr:col>
      <xdr:colOff>121920</xdr:colOff>
      <xdr:row>40</xdr:row>
      <xdr:rowOff>53340</xdr:rowOff>
    </xdr:to>
    <xdr:pic>
      <xdr:nvPicPr>
        <xdr:cNvPr id="7" name="Picture 13"/>
        <xdr:cNvPicPr>
          <a:picLocks noChangeAspect="1" noChangeArrowheads="1"/>
        </xdr:cNvPicPr>
      </xdr:nvPicPr>
      <xdr:blipFill>
        <a:blip xmlns:r="http://schemas.openxmlformats.org/officeDocument/2006/relationships" r:embed="rId4" cstate="print"/>
        <a:srcRect/>
        <a:stretch>
          <a:fillRect/>
        </a:stretch>
      </xdr:blipFill>
      <xdr:spPr bwMode="auto">
        <a:xfrm rot="60000">
          <a:off x="22562820" y="106680"/>
          <a:ext cx="5600700" cy="6652260"/>
        </a:xfrm>
        <a:prstGeom prst="rect">
          <a:avLst/>
        </a:prstGeom>
        <a:noFill/>
      </xdr:spPr>
    </xdr:pic>
    <xdr:clientData/>
  </xdr:twoCellAnchor>
  <xdr:twoCellAnchor editAs="oneCell">
    <xdr:from>
      <xdr:col>46</xdr:col>
      <xdr:colOff>121920</xdr:colOff>
      <xdr:row>0</xdr:row>
      <xdr:rowOff>99060</xdr:rowOff>
    </xdr:from>
    <xdr:to>
      <xdr:col>56</xdr:col>
      <xdr:colOff>144780</xdr:colOff>
      <xdr:row>40</xdr:row>
      <xdr:rowOff>68580</xdr:rowOff>
    </xdr:to>
    <xdr:pic>
      <xdr:nvPicPr>
        <xdr:cNvPr id="8" name="Picture 14"/>
        <xdr:cNvPicPr>
          <a:picLocks noChangeAspect="1" noChangeArrowheads="1"/>
        </xdr:cNvPicPr>
      </xdr:nvPicPr>
      <xdr:blipFill>
        <a:blip xmlns:r="http://schemas.openxmlformats.org/officeDocument/2006/relationships" r:embed="rId5" cstate="print"/>
        <a:srcRect/>
        <a:stretch>
          <a:fillRect/>
        </a:stretch>
      </xdr:blipFill>
      <xdr:spPr bwMode="auto">
        <a:xfrm rot="60000">
          <a:off x="28194000" y="99060"/>
          <a:ext cx="5570220" cy="6675120"/>
        </a:xfrm>
        <a:prstGeom prst="rect">
          <a:avLst/>
        </a:prstGeom>
        <a:noFill/>
      </xdr:spPr>
    </xdr:pic>
    <xdr:clientData/>
  </xdr:twoCellAnchor>
  <xdr:twoCellAnchor editAs="oneCell">
    <xdr:from>
      <xdr:col>55</xdr:col>
      <xdr:colOff>601980</xdr:colOff>
      <xdr:row>1</xdr:row>
      <xdr:rowOff>-1</xdr:rowOff>
    </xdr:from>
    <xdr:to>
      <xdr:col>64</xdr:col>
      <xdr:colOff>571500</xdr:colOff>
      <xdr:row>40</xdr:row>
      <xdr:rowOff>129539</xdr:rowOff>
    </xdr:to>
    <xdr:pic>
      <xdr:nvPicPr>
        <xdr:cNvPr id="9" name="Picture 15"/>
        <xdr:cNvPicPr>
          <a:picLocks noChangeAspect="1" noChangeArrowheads="1"/>
        </xdr:cNvPicPr>
      </xdr:nvPicPr>
      <xdr:blipFill>
        <a:blip xmlns:r="http://schemas.openxmlformats.org/officeDocument/2006/relationships" r:embed="rId6" cstate="print"/>
        <a:srcRect/>
        <a:stretch>
          <a:fillRect/>
        </a:stretch>
      </xdr:blipFill>
      <xdr:spPr bwMode="auto">
        <a:xfrm rot="60000">
          <a:off x="33611820" y="167639"/>
          <a:ext cx="5029200" cy="6667500"/>
        </a:xfrm>
        <a:prstGeom prst="rect">
          <a:avLst/>
        </a:prstGeom>
        <a:noFill/>
      </xdr:spPr>
    </xdr:pic>
    <xdr:clientData/>
  </xdr:twoCellAnchor>
  <xdr:twoCellAnchor editAs="oneCell">
    <xdr:from>
      <xdr:col>64</xdr:col>
      <xdr:colOff>487680</xdr:colOff>
      <xdr:row>0</xdr:row>
      <xdr:rowOff>91440</xdr:rowOff>
    </xdr:from>
    <xdr:to>
      <xdr:col>74</xdr:col>
      <xdr:colOff>373380</xdr:colOff>
      <xdr:row>40</xdr:row>
      <xdr:rowOff>83820</xdr:rowOff>
    </xdr:to>
    <xdr:pic>
      <xdr:nvPicPr>
        <xdr:cNvPr id="10" name="Picture 16"/>
        <xdr:cNvPicPr>
          <a:picLocks noChangeAspect="1" noChangeArrowheads="1"/>
        </xdr:cNvPicPr>
      </xdr:nvPicPr>
      <xdr:blipFill>
        <a:blip xmlns:r="http://schemas.openxmlformats.org/officeDocument/2006/relationships" r:embed="rId7" cstate="print"/>
        <a:srcRect/>
        <a:stretch>
          <a:fillRect/>
        </a:stretch>
      </xdr:blipFill>
      <xdr:spPr bwMode="auto">
        <a:xfrm rot="60000">
          <a:off x="38557200" y="91440"/>
          <a:ext cx="5554980" cy="6697980"/>
        </a:xfrm>
        <a:prstGeom prst="rect">
          <a:avLst/>
        </a:prstGeom>
        <a:noFill/>
      </xdr:spPr>
    </xdr:pic>
    <xdr:clientData/>
  </xdr:twoCellAnchor>
  <xdr:twoCellAnchor editAs="oneCell">
    <xdr:from>
      <xdr:col>74</xdr:col>
      <xdr:colOff>289560</xdr:colOff>
      <xdr:row>0</xdr:row>
      <xdr:rowOff>114300</xdr:rowOff>
    </xdr:from>
    <xdr:to>
      <xdr:col>84</xdr:col>
      <xdr:colOff>312420</xdr:colOff>
      <xdr:row>40</xdr:row>
      <xdr:rowOff>114300</xdr:rowOff>
    </xdr:to>
    <xdr:pic>
      <xdr:nvPicPr>
        <xdr:cNvPr id="11" name="Picture 17"/>
        <xdr:cNvPicPr>
          <a:picLocks noChangeAspect="1" noChangeArrowheads="1"/>
        </xdr:cNvPicPr>
      </xdr:nvPicPr>
      <xdr:blipFill>
        <a:blip xmlns:r="http://schemas.openxmlformats.org/officeDocument/2006/relationships" r:embed="rId8" cstate="print"/>
        <a:srcRect/>
        <a:stretch>
          <a:fillRect/>
        </a:stretch>
      </xdr:blipFill>
      <xdr:spPr bwMode="auto">
        <a:xfrm>
          <a:off x="43982640" y="114300"/>
          <a:ext cx="5539740" cy="6705600"/>
        </a:xfrm>
        <a:prstGeom prst="rect">
          <a:avLst/>
        </a:prstGeom>
        <a:noFill/>
      </xdr:spPr>
    </xdr:pic>
    <xdr:clientData/>
  </xdr:twoCellAnchor>
  <xdr:twoCellAnchor editAs="oneCell">
    <xdr:from>
      <xdr:col>84</xdr:col>
      <xdr:colOff>236219</xdr:colOff>
      <xdr:row>0</xdr:row>
      <xdr:rowOff>137160</xdr:rowOff>
    </xdr:from>
    <xdr:to>
      <xdr:col>94</xdr:col>
      <xdr:colOff>243839</xdr:colOff>
      <xdr:row>40</xdr:row>
      <xdr:rowOff>114300</xdr:rowOff>
    </xdr:to>
    <xdr:pic>
      <xdr:nvPicPr>
        <xdr:cNvPr id="12" name="Picture 18"/>
        <xdr:cNvPicPr>
          <a:picLocks noChangeAspect="1" noChangeArrowheads="1"/>
        </xdr:cNvPicPr>
      </xdr:nvPicPr>
      <xdr:blipFill>
        <a:blip xmlns:r="http://schemas.openxmlformats.org/officeDocument/2006/relationships" r:embed="rId9" cstate="print"/>
        <a:srcRect/>
        <a:stretch>
          <a:fillRect/>
        </a:stretch>
      </xdr:blipFill>
      <xdr:spPr bwMode="auto">
        <a:xfrm rot="60000">
          <a:off x="49491899" y="137160"/>
          <a:ext cx="5585460" cy="6682740"/>
        </a:xfrm>
        <a:prstGeom prst="rect">
          <a:avLst/>
        </a:prstGeom>
        <a:noFill/>
      </xdr:spPr>
    </xdr:pic>
    <xdr:clientData/>
  </xdr:twoCellAnchor>
  <xdr:twoCellAnchor editAs="oneCell">
    <xdr:from>
      <xdr:col>94</xdr:col>
      <xdr:colOff>167640</xdr:colOff>
      <xdr:row>1</xdr:row>
      <xdr:rowOff>38100</xdr:rowOff>
    </xdr:from>
    <xdr:to>
      <xdr:col>102</xdr:col>
      <xdr:colOff>403860</xdr:colOff>
      <xdr:row>41</xdr:row>
      <xdr:rowOff>0</xdr:rowOff>
    </xdr:to>
    <xdr:pic>
      <xdr:nvPicPr>
        <xdr:cNvPr id="13" name="Picture 19"/>
        <xdr:cNvPicPr>
          <a:picLocks noChangeAspect="1" noChangeArrowheads="1"/>
        </xdr:cNvPicPr>
      </xdr:nvPicPr>
      <xdr:blipFill>
        <a:blip xmlns:r="http://schemas.openxmlformats.org/officeDocument/2006/relationships" r:embed="rId10" cstate="print"/>
        <a:srcRect/>
        <a:stretch>
          <a:fillRect/>
        </a:stretch>
      </xdr:blipFill>
      <xdr:spPr bwMode="auto">
        <a:xfrm rot="60000">
          <a:off x="55001160" y="205740"/>
          <a:ext cx="5113020" cy="6667500"/>
        </a:xfrm>
        <a:prstGeom prst="rect">
          <a:avLst/>
        </a:prstGeom>
        <a:noFill/>
      </xdr:spPr>
    </xdr:pic>
    <xdr:clientData/>
  </xdr:twoCellAnchor>
  <xdr:twoCellAnchor editAs="oneCell">
    <xdr:from>
      <xdr:col>0</xdr:col>
      <xdr:colOff>137160</xdr:colOff>
      <xdr:row>0</xdr:row>
      <xdr:rowOff>83820</xdr:rowOff>
    </xdr:from>
    <xdr:to>
      <xdr:col>8</xdr:col>
      <xdr:colOff>541020</xdr:colOff>
      <xdr:row>39</xdr:row>
      <xdr:rowOff>152400</xdr:rowOff>
    </xdr:to>
    <xdr:pic>
      <xdr:nvPicPr>
        <xdr:cNvPr id="12289" name="Picture 1"/>
        <xdr:cNvPicPr>
          <a:picLocks noChangeAspect="1" noChangeArrowheads="1"/>
        </xdr:cNvPicPr>
      </xdr:nvPicPr>
      <xdr:blipFill>
        <a:blip xmlns:r="http://schemas.openxmlformats.org/officeDocument/2006/relationships" r:embed="rId11" cstate="print"/>
        <a:srcRect/>
        <a:stretch>
          <a:fillRect/>
        </a:stretch>
      </xdr:blipFill>
      <xdr:spPr bwMode="auto">
        <a:xfrm rot="-60000">
          <a:off x="137160" y="83820"/>
          <a:ext cx="4930140" cy="660654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rtlCol="0" anchor="ctr" upright="1"/>
      <a:lstStyle>
        <a:defPPr algn="ctr">
          <a:defRPr sz="1100"/>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2.xml"/><Relationship Id="rId16" Type="http://schemas.openxmlformats.org/officeDocument/2006/relationships/oleObject" Target="../embeddings/oleObject7.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
  <sheetViews>
    <sheetView showGridLines="0" tabSelected="1" zoomScale="80" zoomScaleNormal="80" zoomScaleSheetLayoutView="75" workbookViewId="0"/>
  </sheetViews>
  <sheetFormatPr defaultColWidth="8.85546875" defaultRowHeight="12.75" x14ac:dyDescent="0.2"/>
  <cols>
    <col min="1" max="1" width="1.7109375" style="6" customWidth="1"/>
    <col min="2" max="2" width="14.7109375" style="6" customWidth="1"/>
    <col min="3" max="3" width="32.85546875" style="6" customWidth="1"/>
    <col min="4" max="4" width="17.5703125" style="6" customWidth="1"/>
    <col min="5" max="5" width="12.140625" style="6" customWidth="1"/>
    <col min="6" max="6" width="11.28515625" style="6" customWidth="1"/>
    <col min="7" max="7" width="12.140625" style="6" customWidth="1"/>
    <col min="8" max="8" width="3" style="6" customWidth="1"/>
    <col min="9" max="9" width="6.42578125" style="6" customWidth="1"/>
    <col min="10" max="10" width="1.7109375" style="6" customWidth="1"/>
    <col min="11" max="11" width="9" style="6" customWidth="1"/>
    <col min="12" max="12" width="8.7109375" style="6" customWidth="1"/>
    <col min="13" max="14" width="10.5703125" style="6" customWidth="1"/>
    <col min="15" max="15" width="9.7109375" style="6" customWidth="1"/>
    <col min="16" max="16" width="10.5703125" style="6" customWidth="1"/>
    <col min="17" max="17" width="20.42578125" style="6" customWidth="1"/>
    <col min="18" max="16384" width="8.85546875" style="6"/>
  </cols>
  <sheetData>
    <row r="1" spans="2:22" ht="7.15" customHeight="1" thickBot="1" x14ac:dyDescent="0.25"/>
    <row r="2" spans="2:22" ht="15" customHeight="1" thickTop="1" x14ac:dyDescent="0.4">
      <c r="B2" s="32" t="s">
        <v>6</v>
      </c>
      <c r="C2" s="375" t="s">
        <v>301</v>
      </c>
      <c r="D2" s="33" t="s">
        <v>378</v>
      </c>
      <c r="E2" s="574" t="s">
        <v>289</v>
      </c>
      <c r="F2" s="574"/>
      <c r="G2" s="574"/>
      <c r="H2" s="574"/>
      <c r="I2" s="376"/>
      <c r="J2" s="29"/>
      <c r="K2" s="22"/>
      <c r="L2" s="22"/>
      <c r="M2" s="22"/>
      <c r="N2" s="22"/>
      <c r="O2" s="22"/>
      <c r="P2" s="22"/>
      <c r="Q2" s="22"/>
    </row>
    <row r="3" spans="2:22" ht="15" customHeight="1" x14ac:dyDescent="0.3">
      <c r="B3" s="35" t="s">
        <v>8</v>
      </c>
      <c r="C3" s="377">
        <v>4904036</v>
      </c>
      <c r="D3" s="36" t="s">
        <v>7</v>
      </c>
      <c r="E3" s="381"/>
      <c r="F3" s="37" t="s">
        <v>9</v>
      </c>
      <c r="G3" s="575">
        <v>10</v>
      </c>
      <c r="H3" s="575"/>
      <c r="I3" s="378"/>
      <c r="J3" s="23"/>
      <c r="K3" s="22"/>
      <c r="L3" s="22"/>
      <c r="M3" s="22"/>
      <c r="N3" s="22"/>
      <c r="O3" s="22"/>
      <c r="P3" s="22"/>
      <c r="Q3" s="22"/>
    </row>
    <row r="4" spans="2:22" ht="15" customHeight="1" x14ac:dyDescent="0.3">
      <c r="B4" s="35" t="s">
        <v>10</v>
      </c>
      <c r="C4" s="379">
        <v>1961</v>
      </c>
      <c r="D4" s="36" t="s">
        <v>247</v>
      </c>
      <c r="E4" s="38" t="s">
        <v>286</v>
      </c>
      <c r="F4" s="37" t="s">
        <v>3</v>
      </c>
      <c r="G4" s="576">
        <v>40940</v>
      </c>
      <c r="H4" s="576"/>
      <c r="I4" s="378"/>
      <c r="J4" s="23"/>
      <c r="K4" s="22"/>
      <c r="L4" s="22"/>
      <c r="M4" s="22"/>
      <c r="N4" s="22"/>
      <c r="O4" s="22"/>
      <c r="P4" s="22"/>
      <c r="Q4" s="22"/>
    </row>
    <row r="5" spans="2:22" ht="15" customHeight="1" x14ac:dyDescent="0.3">
      <c r="B5" s="35" t="s">
        <v>12</v>
      </c>
      <c r="C5" s="380" t="s">
        <v>0</v>
      </c>
      <c r="D5" s="36" t="s">
        <v>17</v>
      </c>
      <c r="E5" s="38" t="s">
        <v>306</v>
      </c>
      <c r="F5" s="37" t="s">
        <v>3</v>
      </c>
      <c r="G5" s="576">
        <v>40970</v>
      </c>
      <c r="H5" s="576"/>
      <c r="I5" s="378"/>
      <c r="J5" s="23"/>
      <c r="K5" s="22"/>
      <c r="L5" s="22"/>
      <c r="M5" s="22"/>
      <c r="N5" s="22"/>
      <c r="O5" s="22"/>
      <c r="P5" s="22"/>
      <c r="Q5" s="22"/>
    </row>
    <row r="6" spans="2:22" ht="8.4499999999999993" customHeight="1" thickBot="1" x14ac:dyDescent="0.35">
      <c r="B6" s="28"/>
      <c r="C6" s="30"/>
      <c r="D6" s="27"/>
      <c r="E6" s="26"/>
      <c r="F6" s="26"/>
      <c r="G6" s="25"/>
      <c r="H6" s="25"/>
      <c r="I6" s="24"/>
      <c r="J6" s="23"/>
      <c r="K6" s="22"/>
      <c r="L6" s="22"/>
      <c r="M6" s="22"/>
      <c r="N6" s="22"/>
      <c r="O6" s="22"/>
      <c r="P6" s="22"/>
      <c r="Q6" s="22"/>
    </row>
    <row r="7" spans="2:22" ht="22.9" customHeight="1" thickTop="1" thickBot="1" x14ac:dyDescent="0.35">
      <c r="B7" s="586" t="s">
        <v>254</v>
      </c>
      <c r="C7" s="586"/>
      <c r="D7" s="586"/>
      <c r="E7" s="586"/>
      <c r="F7" s="586"/>
      <c r="G7" s="586"/>
      <c r="H7" s="586"/>
      <c r="I7" s="586"/>
      <c r="J7" s="23"/>
      <c r="K7" s="22"/>
      <c r="L7" s="22"/>
      <c r="M7" s="22"/>
      <c r="N7" s="22"/>
      <c r="O7" s="22"/>
      <c r="P7" s="22"/>
      <c r="Q7" s="22"/>
    </row>
    <row r="8" spans="2:22" ht="18.600000000000001" customHeight="1" thickTop="1" x14ac:dyDescent="0.3">
      <c r="B8" s="577"/>
      <c r="C8" s="578"/>
      <c r="D8" s="578"/>
      <c r="E8" s="578"/>
      <c r="F8" s="578"/>
      <c r="G8" s="578"/>
      <c r="H8" s="578"/>
      <c r="I8" s="579"/>
      <c r="J8" s="21"/>
      <c r="K8" s="20"/>
      <c r="L8" s="20"/>
      <c r="M8" s="20"/>
      <c r="N8" s="20"/>
      <c r="O8" s="20"/>
      <c r="P8" s="20"/>
      <c r="Q8" s="11"/>
      <c r="V8" s="20"/>
    </row>
    <row r="9" spans="2:22" ht="15.4" customHeight="1" x14ac:dyDescent="0.3">
      <c r="B9" s="580"/>
      <c r="C9" s="581"/>
      <c r="D9" s="581"/>
      <c r="E9" s="581"/>
      <c r="F9" s="581"/>
      <c r="G9" s="581"/>
      <c r="H9" s="581"/>
      <c r="I9" s="582"/>
      <c r="J9" s="17"/>
      <c r="K9" s="19"/>
      <c r="L9" s="10"/>
      <c r="M9" s="19"/>
      <c r="N9" s="19"/>
      <c r="O9" s="10"/>
      <c r="P9" s="19"/>
      <c r="Q9" s="11"/>
      <c r="V9" s="10"/>
    </row>
    <row r="10" spans="2:22" ht="15.4" customHeight="1" x14ac:dyDescent="0.3">
      <c r="B10" s="580"/>
      <c r="C10" s="581"/>
      <c r="D10" s="581"/>
      <c r="E10" s="581"/>
      <c r="F10" s="581"/>
      <c r="G10" s="581"/>
      <c r="H10" s="581"/>
      <c r="I10" s="582"/>
      <c r="J10" s="17"/>
      <c r="K10" s="278"/>
      <c r="L10" s="10"/>
      <c r="M10" s="10"/>
      <c r="N10" s="10"/>
      <c r="O10" s="10"/>
      <c r="P10" s="10"/>
      <c r="Q10" s="11"/>
      <c r="V10" s="10"/>
    </row>
    <row r="11" spans="2:22" ht="15.4" customHeight="1" x14ac:dyDescent="0.3">
      <c r="B11" s="580"/>
      <c r="C11" s="581"/>
      <c r="D11" s="581"/>
      <c r="E11" s="581"/>
      <c r="F11" s="581"/>
      <c r="G11" s="581"/>
      <c r="H11" s="581"/>
      <c r="I11" s="582"/>
      <c r="J11" s="18"/>
      <c r="K11" s="10" t="s">
        <v>163</v>
      </c>
      <c r="L11" s="10"/>
      <c r="M11" s="10"/>
      <c r="N11" s="10"/>
      <c r="O11" s="10"/>
      <c r="P11" s="10"/>
      <c r="Q11" s="11"/>
      <c r="V11" s="10"/>
    </row>
    <row r="12" spans="2:22" ht="15.4" customHeight="1" x14ac:dyDescent="0.3">
      <c r="B12" s="580"/>
      <c r="C12" s="581"/>
      <c r="D12" s="581"/>
      <c r="E12" s="581"/>
      <c r="F12" s="581"/>
      <c r="G12" s="581"/>
      <c r="H12" s="581"/>
      <c r="I12" s="582"/>
      <c r="J12" s="17"/>
      <c r="K12" s="10" t="s">
        <v>169</v>
      </c>
      <c r="L12" s="10"/>
      <c r="M12" s="10"/>
      <c r="N12" s="10"/>
      <c r="O12" s="10"/>
      <c r="P12" s="10"/>
      <c r="Q12" s="11"/>
      <c r="V12" s="10"/>
    </row>
    <row r="13" spans="2:22" ht="15.4" customHeight="1" x14ac:dyDescent="0.3">
      <c r="B13" s="580"/>
      <c r="C13" s="581"/>
      <c r="D13" s="581"/>
      <c r="E13" s="581"/>
      <c r="F13" s="581"/>
      <c r="G13" s="581"/>
      <c r="H13" s="581"/>
      <c r="I13" s="582"/>
      <c r="J13" s="17"/>
      <c r="K13" s="10"/>
      <c r="L13" s="10"/>
      <c r="M13" s="10"/>
      <c r="N13" s="10"/>
      <c r="O13" s="10"/>
      <c r="P13" s="10"/>
      <c r="Q13" s="11"/>
      <c r="V13" s="10"/>
    </row>
    <row r="14" spans="2:22" ht="15.4" customHeight="1" x14ac:dyDescent="0.3">
      <c r="B14" s="580"/>
      <c r="C14" s="581"/>
      <c r="D14" s="581"/>
      <c r="E14" s="581"/>
      <c r="F14" s="581"/>
      <c r="G14" s="581"/>
      <c r="H14" s="581"/>
      <c r="I14" s="582"/>
      <c r="J14" s="17"/>
      <c r="K14" s="10"/>
      <c r="L14" s="10"/>
      <c r="M14" s="10"/>
      <c r="N14" s="10"/>
      <c r="O14" s="10"/>
      <c r="P14" s="10"/>
      <c r="Q14" s="11"/>
      <c r="V14" s="10"/>
    </row>
    <row r="15" spans="2:22" ht="15.4" customHeight="1" x14ac:dyDescent="0.3">
      <c r="B15" s="580"/>
      <c r="C15" s="581"/>
      <c r="D15" s="581"/>
      <c r="E15" s="581"/>
      <c r="F15" s="581"/>
      <c r="G15" s="581"/>
      <c r="H15" s="581"/>
      <c r="I15" s="582"/>
      <c r="J15" s="17"/>
      <c r="K15" s="10"/>
      <c r="L15" s="10"/>
      <c r="M15" s="10"/>
      <c r="N15" s="10"/>
      <c r="O15" s="10"/>
      <c r="P15" s="10"/>
      <c r="Q15" s="11"/>
      <c r="V15" s="10"/>
    </row>
    <row r="16" spans="2:22" ht="15.4" customHeight="1" x14ac:dyDescent="0.3">
      <c r="B16" s="580"/>
      <c r="C16" s="581"/>
      <c r="D16" s="581"/>
      <c r="E16" s="581"/>
      <c r="F16" s="581"/>
      <c r="G16" s="581"/>
      <c r="H16" s="581"/>
      <c r="I16" s="582"/>
      <c r="J16" s="16"/>
      <c r="K16" s="10"/>
      <c r="L16" s="10"/>
      <c r="M16" s="10"/>
      <c r="N16" s="10"/>
      <c r="O16" s="10"/>
      <c r="P16" s="10"/>
      <c r="Q16" s="11"/>
      <c r="V16" s="10"/>
    </row>
    <row r="17" spans="1:22" ht="15.4" customHeight="1" x14ac:dyDescent="0.3">
      <c r="B17" s="580"/>
      <c r="C17" s="581"/>
      <c r="D17" s="581"/>
      <c r="E17" s="581"/>
      <c r="F17" s="581"/>
      <c r="G17" s="581"/>
      <c r="H17" s="581"/>
      <c r="I17" s="582"/>
      <c r="J17" s="16"/>
      <c r="K17" s="10"/>
      <c r="L17" s="10"/>
      <c r="M17" s="10"/>
      <c r="N17" s="10"/>
      <c r="O17" s="10"/>
      <c r="P17" s="10"/>
      <c r="Q17" s="11"/>
      <c r="V17" s="10"/>
    </row>
    <row r="18" spans="1:22" ht="15.4" customHeight="1" x14ac:dyDescent="0.3">
      <c r="B18" s="580"/>
      <c r="C18" s="581"/>
      <c r="D18" s="581"/>
      <c r="E18" s="581"/>
      <c r="F18" s="581"/>
      <c r="G18" s="581"/>
      <c r="H18" s="581"/>
      <c r="I18" s="582"/>
      <c r="J18" s="12"/>
      <c r="K18" s="10"/>
      <c r="L18" s="10"/>
      <c r="M18" s="10"/>
      <c r="N18" s="10"/>
      <c r="O18" s="10"/>
      <c r="P18" s="10"/>
      <c r="Q18" s="11"/>
      <c r="V18" s="10"/>
    </row>
    <row r="19" spans="1:22" ht="15.4" customHeight="1" x14ac:dyDescent="0.3">
      <c r="B19" s="580"/>
      <c r="C19" s="581"/>
      <c r="D19" s="581"/>
      <c r="E19" s="581"/>
      <c r="F19" s="581"/>
      <c r="G19" s="581"/>
      <c r="H19" s="581"/>
      <c r="I19" s="582"/>
      <c r="J19" s="12"/>
      <c r="K19" s="10" t="s">
        <v>13</v>
      </c>
      <c r="L19" s="10"/>
      <c r="M19" s="10"/>
      <c r="N19" s="10"/>
      <c r="O19" s="10"/>
      <c r="P19" s="10"/>
      <c r="Q19" s="11"/>
      <c r="V19" s="10"/>
    </row>
    <row r="20" spans="1:22" ht="15.4" customHeight="1" x14ac:dyDescent="0.3">
      <c r="B20" s="580"/>
      <c r="C20" s="581"/>
      <c r="D20" s="581"/>
      <c r="E20" s="581"/>
      <c r="F20" s="581"/>
      <c r="G20" s="581"/>
      <c r="H20" s="581"/>
      <c r="I20" s="582"/>
      <c r="J20" s="12"/>
      <c r="K20" s="10"/>
      <c r="L20" s="10"/>
      <c r="M20" s="10"/>
      <c r="N20" s="10"/>
      <c r="O20" s="10"/>
      <c r="P20" s="10"/>
      <c r="Q20" s="11"/>
      <c r="V20" s="10"/>
    </row>
    <row r="21" spans="1:22" ht="15.4" customHeight="1" x14ac:dyDescent="0.3">
      <c r="B21" s="580"/>
      <c r="C21" s="581"/>
      <c r="D21" s="581"/>
      <c r="E21" s="581"/>
      <c r="F21" s="581"/>
      <c r="G21" s="581"/>
      <c r="H21" s="581"/>
      <c r="I21" s="582"/>
      <c r="J21" s="12"/>
      <c r="K21" s="15"/>
      <c r="L21" s="10"/>
      <c r="M21" s="10"/>
      <c r="N21" s="10"/>
      <c r="O21" s="10"/>
      <c r="P21" s="10"/>
      <c r="Q21" s="11"/>
      <c r="V21" s="10"/>
    </row>
    <row r="22" spans="1:22" ht="15.4" customHeight="1" x14ac:dyDescent="0.3">
      <c r="B22" s="580"/>
      <c r="C22" s="581"/>
      <c r="D22" s="581"/>
      <c r="E22" s="581"/>
      <c r="F22" s="581"/>
      <c r="G22" s="581"/>
      <c r="H22" s="581"/>
      <c r="I22" s="582"/>
      <c r="J22" s="12"/>
      <c r="K22" s="15"/>
      <c r="L22" s="10"/>
      <c r="M22" s="10"/>
      <c r="N22" s="10"/>
      <c r="O22" s="10"/>
      <c r="P22" s="10"/>
      <c r="Q22" s="11"/>
      <c r="V22" s="10"/>
    </row>
    <row r="23" spans="1:22" ht="15.4" customHeight="1" x14ac:dyDescent="0.3">
      <c r="B23" s="580"/>
      <c r="C23" s="581"/>
      <c r="D23" s="581"/>
      <c r="E23" s="581"/>
      <c r="F23" s="581"/>
      <c r="G23" s="581"/>
      <c r="H23" s="581"/>
      <c r="I23" s="582"/>
      <c r="J23" s="12"/>
      <c r="K23" s="14"/>
      <c r="L23" s="10"/>
      <c r="M23" s="10"/>
      <c r="N23" s="10"/>
      <c r="O23" s="10"/>
      <c r="P23" s="10"/>
      <c r="Q23" s="11"/>
      <c r="V23" s="10"/>
    </row>
    <row r="24" spans="1:22" ht="15.4" customHeight="1" x14ac:dyDescent="0.3">
      <c r="B24" s="580"/>
      <c r="C24" s="581"/>
      <c r="D24" s="581"/>
      <c r="E24" s="581"/>
      <c r="F24" s="581"/>
      <c r="G24" s="581"/>
      <c r="H24" s="581"/>
      <c r="I24" s="582"/>
      <c r="J24" s="12"/>
      <c r="K24" s="13" t="s">
        <v>13</v>
      </c>
      <c r="L24" s="10"/>
      <c r="M24" s="10"/>
      <c r="N24" s="10"/>
      <c r="O24" s="10"/>
      <c r="P24" s="10"/>
      <c r="Q24" s="11"/>
      <c r="V24" s="10"/>
    </row>
    <row r="25" spans="1:22" ht="15.4" customHeight="1" x14ac:dyDescent="0.3">
      <c r="B25" s="580"/>
      <c r="C25" s="581"/>
      <c r="D25" s="581"/>
      <c r="E25" s="581"/>
      <c r="F25" s="581"/>
      <c r="G25" s="581"/>
      <c r="H25" s="581"/>
      <c r="I25" s="582"/>
      <c r="J25" s="12"/>
      <c r="K25" s="10"/>
      <c r="L25" s="10"/>
      <c r="M25" s="10"/>
      <c r="N25" s="10"/>
      <c r="O25" s="10"/>
      <c r="P25" s="10"/>
      <c r="Q25" s="11"/>
      <c r="V25" s="10"/>
    </row>
    <row r="26" spans="1:22" ht="15.4" customHeight="1" x14ac:dyDescent="0.3">
      <c r="B26" s="580"/>
      <c r="C26" s="581"/>
      <c r="D26" s="581"/>
      <c r="E26" s="581"/>
      <c r="F26" s="581"/>
      <c r="G26" s="581"/>
      <c r="H26" s="581"/>
      <c r="I26" s="582"/>
      <c r="J26" s="12"/>
      <c r="K26" s="10"/>
      <c r="L26" s="10"/>
      <c r="M26" s="10"/>
      <c r="N26" s="10"/>
      <c r="O26" s="10"/>
      <c r="P26" s="10"/>
      <c r="Q26" s="11"/>
      <c r="V26" s="10"/>
    </row>
    <row r="27" spans="1:22" ht="15.4" customHeight="1" x14ac:dyDescent="0.3">
      <c r="B27" s="580"/>
      <c r="C27" s="581"/>
      <c r="D27" s="581"/>
      <c r="E27" s="581"/>
      <c r="F27" s="581"/>
      <c r="G27" s="581"/>
      <c r="H27" s="581"/>
      <c r="I27" s="582"/>
      <c r="J27" s="12"/>
      <c r="K27" s="10"/>
      <c r="L27" s="10" t="s">
        <v>165</v>
      </c>
      <c r="M27" s="10"/>
      <c r="N27" s="10"/>
      <c r="O27" s="10"/>
      <c r="P27" s="10"/>
      <c r="Q27" s="11"/>
      <c r="V27" s="10"/>
    </row>
    <row r="28" spans="1:22" ht="61.15" customHeight="1" thickBot="1" x14ac:dyDescent="0.35">
      <c r="B28" s="583"/>
      <c r="C28" s="584"/>
      <c r="D28" s="584"/>
      <c r="E28" s="584"/>
      <c r="F28" s="584"/>
      <c r="G28" s="584"/>
      <c r="H28" s="584"/>
      <c r="I28" s="585"/>
      <c r="J28" s="12"/>
      <c r="K28" s="10"/>
      <c r="L28" s="10"/>
      <c r="M28" s="10"/>
      <c r="N28" s="10"/>
      <c r="O28" s="10"/>
      <c r="P28" s="10"/>
      <c r="Q28" s="11"/>
      <c r="V28" s="10"/>
    </row>
    <row r="29" spans="1:22" ht="63.6" customHeight="1" thickTop="1" x14ac:dyDescent="0.3">
      <c r="B29" s="592" t="s">
        <v>98</v>
      </c>
      <c r="C29" s="593"/>
      <c r="D29" s="593"/>
      <c r="E29" s="593"/>
      <c r="F29" s="593"/>
      <c r="G29" s="593"/>
      <c r="H29" s="593"/>
      <c r="I29" s="593"/>
      <c r="J29" s="12"/>
      <c r="K29" s="10"/>
      <c r="L29" s="10"/>
      <c r="M29" s="10"/>
      <c r="N29" s="10"/>
      <c r="O29" s="10"/>
      <c r="P29" s="10"/>
      <c r="Q29" s="11"/>
      <c r="V29" s="10"/>
    </row>
    <row r="30" spans="1:22" s="34" customFormat="1" ht="21" customHeight="1" x14ac:dyDescent="0.2">
      <c r="A30" s="6"/>
      <c r="B30" s="603" t="s">
        <v>284</v>
      </c>
      <c r="C30" s="603"/>
      <c r="D30" s="603"/>
      <c r="E30" s="603"/>
      <c r="F30" s="603"/>
      <c r="G30" s="603"/>
      <c r="H30" s="603"/>
      <c r="I30" s="603"/>
    </row>
    <row r="31" spans="1:22" ht="28.15" customHeight="1" x14ac:dyDescent="0.3">
      <c r="B31" s="604" t="s">
        <v>253</v>
      </c>
      <c r="C31" s="604"/>
      <c r="D31" s="604"/>
      <c r="E31" s="604"/>
      <c r="F31" s="604"/>
      <c r="G31" s="604"/>
      <c r="H31" s="604"/>
      <c r="I31" s="604"/>
      <c r="J31" s="23"/>
      <c r="K31" s="22"/>
      <c r="L31" s="22"/>
      <c r="M31" s="22"/>
      <c r="N31" s="22"/>
      <c r="O31" s="22"/>
      <c r="P31" s="22"/>
      <c r="Q31" s="22"/>
    </row>
    <row r="32" spans="1:22" ht="14.45" customHeight="1" x14ac:dyDescent="0.3">
      <c r="B32" s="605" t="s">
        <v>252</v>
      </c>
      <c r="C32" s="605"/>
      <c r="D32" s="605"/>
      <c r="E32" s="605"/>
      <c r="F32" s="605"/>
      <c r="G32" s="605"/>
      <c r="H32" s="605"/>
      <c r="I32" s="605"/>
      <c r="J32" s="23"/>
      <c r="K32" s="22"/>
      <c r="L32" s="22"/>
      <c r="M32" s="22"/>
      <c r="N32" s="22"/>
      <c r="O32" s="22"/>
      <c r="P32" s="22"/>
      <c r="Q32" s="22"/>
    </row>
    <row r="33" spans="2:22" ht="4.9000000000000004" customHeight="1" thickBot="1" x14ac:dyDescent="0.35">
      <c r="B33" s="413"/>
      <c r="C33" s="413"/>
      <c r="D33" s="413"/>
      <c r="E33" s="413"/>
      <c r="F33" s="413"/>
      <c r="G33" s="413"/>
      <c r="H33" s="413"/>
      <c r="I33" s="413"/>
      <c r="J33" s="23"/>
      <c r="K33" s="22"/>
      <c r="L33" s="22"/>
      <c r="M33" s="22"/>
      <c r="N33" s="22"/>
      <c r="O33" s="22"/>
      <c r="P33" s="22"/>
      <c r="Q33" s="22"/>
    </row>
    <row r="34" spans="2:22" s="7" customFormat="1" ht="22.15" customHeight="1" thickTop="1" x14ac:dyDescent="0.3">
      <c r="B34" s="588" t="s">
        <v>244</v>
      </c>
      <c r="C34" s="589"/>
      <c r="D34" s="589"/>
      <c r="E34" s="589"/>
      <c r="F34" s="589"/>
      <c r="G34" s="589"/>
      <c r="H34" s="590"/>
      <c r="I34" s="9"/>
      <c r="P34" s="8"/>
      <c r="V34" s="8"/>
    </row>
    <row r="35" spans="2:22" s="7" customFormat="1" ht="18" customHeight="1" thickBot="1" x14ac:dyDescent="0.35">
      <c r="B35" s="299"/>
      <c r="C35" s="300"/>
      <c r="D35" s="587" t="s">
        <v>171</v>
      </c>
      <c r="E35" s="587"/>
      <c r="F35" s="587"/>
      <c r="G35" s="587"/>
      <c r="H35" s="301"/>
      <c r="I35" s="9"/>
      <c r="P35" s="8"/>
      <c r="V35" s="8"/>
    </row>
    <row r="36" spans="2:22" s="356" customFormat="1" ht="18" customHeight="1" thickTop="1" x14ac:dyDescent="0.25">
      <c r="B36" s="594" t="s">
        <v>271</v>
      </c>
      <c r="C36" s="595"/>
      <c r="D36" s="596" t="s">
        <v>0</v>
      </c>
      <c r="E36" s="597"/>
      <c r="F36" s="597"/>
      <c r="G36" s="597"/>
      <c r="H36" s="598"/>
      <c r="I36" s="355" t="s">
        <v>53</v>
      </c>
    </row>
    <row r="37" spans="2:22" s="356" customFormat="1" ht="18" customHeight="1" x14ac:dyDescent="0.25">
      <c r="B37" s="606" t="s">
        <v>272</v>
      </c>
      <c r="C37" s="607"/>
      <c r="D37" s="591" t="s">
        <v>94</v>
      </c>
      <c r="E37" s="542"/>
      <c r="F37" s="542"/>
      <c r="G37" s="542"/>
      <c r="H37" s="543"/>
      <c r="I37" s="355" t="s">
        <v>53</v>
      </c>
    </row>
    <row r="38" spans="2:22" s="356" customFormat="1" ht="18" customHeight="1" thickBot="1" x14ac:dyDescent="0.3">
      <c r="B38" s="608" t="s">
        <v>273</v>
      </c>
      <c r="C38" s="609"/>
      <c r="D38" s="610" t="s">
        <v>99</v>
      </c>
      <c r="E38" s="611"/>
      <c r="F38" s="611"/>
      <c r="G38" s="611"/>
      <c r="H38" s="612"/>
      <c r="I38" s="355" t="s">
        <v>53</v>
      </c>
    </row>
    <row r="39" spans="2:22" s="356" customFormat="1" ht="30" customHeight="1" thickTop="1" x14ac:dyDescent="0.25">
      <c r="B39" s="563" t="s">
        <v>326</v>
      </c>
      <c r="C39" s="564"/>
      <c r="D39" s="538">
        <f>10/12</f>
        <v>0.83333333333333337</v>
      </c>
      <c r="E39" s="539"/>
      <c r="F39" s="599" t="str">
        <f>IF(AND(D39&gt;8,D39&gt;D41),"Based on AASHTO LRFD 3.6.1.2.6, The effects of live load maybe neglected when H&gt;8' and H&gt;Span Length, no need for LRFR.","")</f>
        <v/>
      </c>
      <c r="G39" s="600"/>
      <c r="H39" s="600"/>
    </row>
    <row r="40" spans="2:22" s="356" customFormat="1" ht="28.9" customHeight="1" x14ac:dyDescent="0.25">
      <c r="B40" s="563" t="s">
        <v>329</v>
      </c>
      <c r="C40" s="564"/>
      <c r="D40" s="538">
        <f>10/12</f>
        <v>0.83333333333333337</v>
      </c>
      <c r="E40" s="539"/>
      <c r="F40" s="601"/>
      <c r="G40" s="602"/>
      <c r="H40" s="602"/>
      <c r="K40" s="615" t="s">
        <v>328</v>
      </c>
      <c r="L40" s="615"/>
      <c r="M40" s="615"/>
      <c r="N40" s="615"/>
      <c r="O40" s="615"/>
      <c r="P40" s="615"/>
    </row>
    <row r="41" spans="2:22" s="356" customFormat="1" ht="18" customHeight="1" x14ac:dyDescent="0.25">
      <c r="B41" s="555" t="s">
        <v>234</v>
      </c>
      <c r="C41" s="556"/>
      <c r="D41" s="538">
        <v>15.42</v>
      </c>
      <c r="E41" s="539"/>
      <c r="F41" s="601"/>
      <c r="G41" s="602"/>
      <c r="H41" s="602"/>
      <c r="I41" s="359"/>
      <c r="K41" s="613"/>
      <c r="L41" s="613"/>
      <c r="M41" s="613"/>
      <c r="N41" s="613"/>
      <c r="O41" s="613"/>
      <c r="P41" s="613"/>
    </row>
    <row r="42" spans="2:22" s="356" customFormat="1" ht="17.45" customHeight="1" x14ac:dyDescent="0.25">
      <c r="B42" s="555" t="s">
        <v>235</v>
      </c>
      <c r="C42" s="556"/>
      <c r="D42" s="538">
        <v>4.04</v>
      </c>
      <c r="E42" s="539"/>
      <c r="F42" s="357"/>
      <c r="G42" s="357"/>
      <c r="H42" s="358"/>
      <c r="I42" s="359"/>
      <c r="K42" s="613"/>
      <c r="L42" s="613"/>
      <c r="M42" s="613"/>
      <c r="N42" s="613"/>
      <c r="O42" s="613"/>
      <c r="P42" s="613"/>
    </row>
    <row r="43" spans="2:22" s="356" customFormat="1" ht="18" customHeight="1" x14ac:dyDescent="0.25">
      <c r="B43" s="555" t="s">
        <v>236</v>
      </c>
      <c r="C43" s="556"/>
      <c r="D43" s="559">
        <v>30</v>
      </c>
      <c r="E43" s="560"/>
      <c r="F43" s="357"/>
      <c r="G43" s="357"/>
      <c r="H43" s="358"/>
      <c r="I43" s="359"/>
      <c r="K43" s="613"/>
      <c r="L43" s="613"/>
      <c r="M43" s="613"/>
      <c r="N43" s="613"/>
      <c r="O43" s="613"/>
      <c r="P43" s="613"/>
    </row>
    <row r="44" spans="2:22" s="356" customFormat="1" ht="24.6" customHeight="1" thickBot="1" x14ac:dyDescent="0.3">
      <c r="B44" s="563" t="s">
        <v>283</v>
      </c>
      <c r="C44" s="564"/>
      <c r="D44" s="561">
        <v>7.25</v>
      </c>
      <c r="E44" s="562"/>
      <c r="F44" s="360"/>
      <c r="G44" s="361"/>
      <c r="H44" s="361"/>
      <c r="I44" s="359"/>
      <c r="J44" s="356" t="s">
        <v>13</v>
      </c>
      <c r="K44" s="613"/>
      <c r="L44" s="613"/>
      <c r="M44" s="613"/>
      <c r="N44" s="613"/>
      <c r="O44" s="613"/>
      <c r="P44" s="613"/>
    </row>
    <row r="45" spans="2:22" s="356" customFormat="1" ht="17.45" customHeight="1" thickTop="1" x14ac:dyDescent="0.25">
      <c r="B45" s="570" t="s">
        <v>14</v>
      </c>
      <c r="C45" s="571"/>
      <c r="D45" s="362" t="s">
        <v>60</v>
      </c>
      <c r="E45" s="561" t="s">
        <v>24</v>
      </c>
      <c r="F45" s="652"/>
      <c r="G45" s="652"/>
      <c r="H45" s="653"/>
      <c r="I45" s="355" t="s">
        <v>53</v>
      </c>
      <c r="K45" s="613"/>
      <c r="L45" s="613"/>
      <c r="M45" s="613"/>
      <c r="N45" s="613"/>
      <c r="O45" s="613"/>
      <c r="P45" s="613"/>
    </row>
    <row r="46" spans="2:22" s="356" customFormat="1" ht="18" customHeight="1" x14ac:dyDescent="0.25">
      <c r="B46" s="572"/>
      <c r="C46" s="573"/>
      <c r="D46" s="354" t="s">
        <v>238</v>
      </c>
      <c r="E46" s="541" t="s">
        <v>205</v>
      </c>
      <c r="F46" s="557"/>
      <c r="G46" s="557"/>
      <c r="H46" s="558"/>
      <c r="I46" s="355" t="s">
        <v>53</v>
      </c>
      <c r="K46" s="613"/>
      <c r="L46" s="613"/>
      <c r="M46" s="613"/>
      <c r="N46" s="613"/>
      <c r="O46" s="613"/>
      <c r="P46" s="613"/>
      <c r="Q46" s="357"/>
      <c r="R46" s="357"/>
      <c r="S46" s="357"/>
    </row>
    <row r="47" spans="2:22" s="356" customFormat="1" ht="19.149999999999999" customHeight="1" thickBot="1" x14ac:dyDescent="0.3">
      <c r="B47" s="572"/>
      <c r="C47" s="573"/>
      <c r="D47" s="354" t="s">
        <v>239</v>
      </c>
      <c r="E47" s="541">
        <v>3</v>
      </c>
      <c r="F47" s="542"/>
      <c r="G47" s="542"/>
      <c r="H47" s="543"/>
      <c r="I47" s="355" t="s">
        <v>53</v>
      </c>
      <c r="K47" s="613"/>
      <c r="L47" s="613"/>
      <c r="M47" s="613"/>
      <c r="N47" s="613"/>
      <c r="O47" s="613"/>
      <c r="P47" s="613"/>
      <c r="Q47" s="357"/>
      <c r="R47" s="357"/>
      <c r="S47" s="357"/>
    </row>
    <row r="48" spans="2:22" s="356" customFormat="1" ht="19.899999999999999" customHeight="1" thickTop="1" x14ac:dyDescent="0.25">
      <c r="B48" s="572"/>
      <c r="C48" s="573"/>
      <c r="D48" s="363" t="s">
        <v>15</v>
      </c>
      <c r="E48" s="364"/>
      <c r="F48" s="619" t="s">
        <v>243</v>
      </c>
      <c r="G48" s="620"/>
      <c r="H48" s="620"/>
      <c r="I48" s="621"/>
      <c r="K48" s="614" t="s">
        <v>324</v>
      </c>
      <c r="L48" s="614"/>
      <c r="M48" s="614"/>
      <c r="N48" s="614"/>
      <c r="O48" s="614"/>
      <c r="P48" s="614"/>
      <c r="Q48" s="357"/>
      <c r="R48" s="357"/>
      <c r="S48" s="357"/>
    </row>
    <row r="49" spans="2:19" s="356" customFormat="1" ht="19.899999999999999" customHeight="1" x14ac:dyDescent="0.25">
      <c r="B49" s="572"/>
      <c r="C49" s="573"/>
      <c r="D49" s="363" t="s">
        <v>16</v>
      </c>
      <c r="E49" s="364"/>
      <c r="F49" s="622"/>
      <c r="G49" s="623"/>
      <c r="H49" s="623"/>
      <c r="I49" s="624"/>
      <c r="K49" s="614"/>
      <c r="L49" s="614"/>
      <c r="M49" s="614"/>
      <c r="N49" s="614"/>
      <c r="O49" s="614"/>
      <c r="P49" s="614"/>
      <c r="Q49" s="357"/>
      <c r="R49" s="357"/>
      <c r="S49" s="357"/>
    </row>
    <row r="50" spans="2:19" s="356" customFormat="1" ht="19.899999999999999" customHeight="1" thickBot="1" x14ac:dyDescent="0.3">
      <c r="B50" s="572"/>
      <c r="C50" s="573"/>
      <c r="D50" s="363" t="s">
        <v>237</v>
      </c>
      <c r="E50" s="365"/>
      <c r="F50" s="625"/>
      <c r="G50" s="626"/>
      <c r="H50" s="626"/>
      <c r="I50" s="627"/>
      <c r="K50" s="614"/>
      <c r="L50" s="614"/>
      <c r="M50" s="614"/>
      <c r="N50" s="614"/>
      <c r="O50" s="614"/>
      <c r="P50" s="614"/>
      <c r="Q50" s="357"/>
      <c r="R50" s="357"/>
      <c r="S50" s="357"/>
    </row>
    <row r="51" spans="2:19" s="356" customFormat="1" ht="16.899999999999999" customHeight="1" thickTop="1" x14ac:dyDescent="0.25">
      <c r="B51" s="550" t="s">
        <v>240</v>
      </c>
      <c r="C51" s="551"/>
      <c r="D51" s="548">
        <v>0.05</v>
      </c>
      <c r="E51" s="549"/>
      <c r="F51" s="366"/>
      <c r="G51" s="367"/>
      <c r="H51" s="368"/>
      <c r="L51" s="357"/>
      <c r="M51" s="357"/>
      <c r="N51" s="357"/>
      <c r="O51" s="357"/>
      <c r="P51" s="357"/>
      <c r="Q51" s="357"/>
      <c r="R51" s="357"/>
      <c r="S51" s="357"/>
    </row>
    <row r="52" spans="2:19" s="369" customFormat="1" ht="18" customHeight="1" thickBot="1" x14ac:dyDescent="0.3">
      <c r="B52" s="546" t="s">
        <v>241</v>
      </c>
      <c r="C52" s="547"/>
      <c r="D52" s="544">
        <v>0.05</v>
      </c>
      <c r="E52" s="545"/>
    </row>
    <row r="53" spans="2:19" s="369" customFormat="1" ht="19.149999999999999" customHeight="1" thickTop="1" x14ac:dyDescent="0.25">
      <c r="B53" s="366" t="s">
        <v>242</v>
      </c>
      <c r="C53" s="370"/>
      <c r="D53" s="366"/>
    </row>
    <row r="54" spans="2:19" ht="31.9" customHeight="1" x14ac:dyDescent="0.2">
      <c r="B54" s="554" t="s">
        <v>231</v>
      </c>
      <c r="C54" s="554"/>
      <c r="D54" s="554"/>
      <c r="E54" s="554"/>
      <c r="F54" s="554"/>
      <c r="G54" s="554"/>
      <c r="H54" s="554"/>
      <c r="I54" s="554"/>
    </row>
    <row r="55" spans="2:19" ht="18" customHeight="1" x14ac:dyDescent="0.2">
      <c r="B55" s="565" t="s">
        <v>246</v>
      </c>
      <c r="C55" s="336" t="s">
        <v>249</v>
      </c>
      <c r="D55" s="394">
        <v>3.65</v>
      </c>
      <c r="E55" s="540" t="s">
        <v>277</v>
      </c>
      <c r="F55" s="540"/>
      <c r="G55" s="540"/>
      <c r="H55" s="540"/>
      <c r="I55" s="540"/>
    </row>
    <row r="56" spans="2:19" ht="18" customHeight="1" x14ac:dyDescent="0.2">
      <c r="B56" s="566"/>
      <c r="C56" s="395" t="s">
        <v>279</v>
      </c>
      <c r="D56" s="396">
        <v>0.69199999999999995</v>
      </c>
      <c r="E56" s="540"/>
      <c r="F56" s="540"/>
      <c r="G56" s="540"/>
      <c r="H56" s="540"/>
      <c r="I56" s="540"/>
      <c r="K56" s="308"/>
    </row>
    <row r="57" spans="2:19" ht="18" customHeight="1" x14ac:dyDescent="0.2">
      <c r="B57" s="567"/>
      <c r="C57" s="397" t="s">
        <v>250</v>
      </c>
      <c r="D57" s="394">
        <v>146.172</v>
      </c>
      <c r="E57" s="540"/>
      <c r="F57" s="540"/>
      <c r="G57" s="540"/>
      <c r="H57" s="540"/>
      <c r="I57" s="540"/>
    </row>
    <row r="58" spans="2:19" ht="8.4499999999999993" customHeight="1" x14ac:dyDescent="0.25">
      <c r="B58" s="390"/>
      <c r="C58" s="398"/>
      <c r="D58" s="399"/>
      <c r="E58" s="391"/>
      <c r="F58" s="392"/>
      <c r="G58" s="392"/>
      <c r="H58" s="392"/>
      <c r="I58" s="391"/>
    </row>
    <row r="59" spans="2:19" ht="18" customHeight="1" x14ac:dyDescent="0.2">
      <c r="B59" s="565" t="s">
        <v>232</v>
      </c>
      <c r="C59" s="569" t="s">
        <v>174</v>
      </c>
      <c r="D59" s="568">
        <v>132</v>
      </c>
      <c r="E59" s="540" t="s">
        <v>278</v>
      </c>
      <c r="F59" s="540"/>
      <c r="G59" s="540"/>
      <c r="H59" s="540"/>
      <c r="I59" s="540"/>
    </row>
    <row r="60" spans="2:19" ht="18" customHeight="1" x14ac:dyDescent="0.2">
      <c r="B60" s="566"/>
      <c r="C60" s="569"/>
      <c r="D60" s="568"/>
      <c r="E60" s="540"/>
      <c r="F60" s="540"/>
      <c r="G60" s="540"/>
      <c r="H60" s="540"/>
      <c r="I60" s="540"/>
    </row>
    <row r="61" spans="2:19" ht="18" customHeight="1" x14ac:dyDescent="0.2">
      <c r="B61" s="567"/>
      <c r="C61" s="569"/>
      <c r="D61" s="568"/>
      <c r="E61" s="540"/>
      <c r="F61" s="540"/>
      <c r="G61" s="540"/>
      <c r="H61" s="540"/>
      <c r="I61" s="540"/>
    </row>
    <row r="62" spans="2:19" ht="7.15" customHeight="1" x14ac:dyDescent="0.25">
      <c r="B62" s="390"/>
      <c r="C62" s="398"/>
      <c r="D62" s="399"/>
      <c r="E62" s="391"/>
      <c r="F62" s="392"/>
      <c r="G62" s="392"/>
      <c r="H62" s="392"/>
      <c r="I62" s="391"/>
    </row>
    <row r="63" spans="2:19" ht="18" customHeight="1" x14ac:dyDescent="0.25">
      <c r="B63" s="535" t="s">
        <v>245</v>
      </c>
      <c r="C63" s="400" t="s">
        <v>251</v>
      </c>
      <c r="D63" s="394">
        <v>0.12</v>
      </c>
      <c r="E63" s="393"/>
      <c r="F63" s="391"/>
      <c r="G63" s="392"/>
      <c r="H63" s="392"/>
      <c r="I63" s="391"/>
    </row>
    <row r="64" spans="2:19" ht="18" customHeight="1" x14ac:dyDescent="0.2">
      <c r="B64" s="536"/>
      <c r="C64" s="552" t="s">
        <v>256</v>
      </c>
      <c r="D64" s="553">
        <v>1.1499999999999999</v>
      </c>
      <c r="E64" s="540" t="s">
        <v>265</v>
      </c>
      <c r="F64" s="540"/>
      <c r="G64" s="540"/>
      <c r="H64" s="540"/>
      <c r="I64" s="540"/>
    </row>
    <row r="65" spans="2:17" ht="18" customHeight="1" x14ac:dyDescent="0.2">
      <c r="B65" s="536"/>
      <c r="C65" s="552"/>
      <c r="D65" s="553"/>
      <c r="E65" s="540"/>
      <c r="F65" s="540"/>
      <c r="G65" s="540"/>
      <c r="H65" s="540"/>
      <c r="I65" s="540"/>
      <c r="L65" s="11"/>
      <c r="M65" s="11"/>
      <c r="N65" s="11"/>
      <c r="O65" s="11"/>
      <c r="P65" s="11"/>
      <c r="Q65" s="11"/>
    </row>
    <row r="66" spans="2:17" ht="18" customHeight="1" x14ac:dyDescent="0.2">
      <c r="B66" s="537"/>
      <c r="C66" s="552"/>
      <c r="D66" s="553"/>
      <c r="E66" s="540"/>
      <c r="F66" s="540"/>
      <c r="G66" s="540"/>
      <c r="H66" s="540"/>
      <c r="I66" s="540"/>
      <c r="L66" s="11"/>
      <c r="M66" s="11"/>
      <c r="N66" s="11"/>
      <c r="O66" s="11"/>
      <c r="P66" s="11"/>
      <c r="Q66" s="11"/>
    </row>
    <row r="67" spans="2:17" ht="7.9" customHeight="1" thickBot="1" x14ac:dyDescent="0.25">
      <c r="B67" s="450"/>
      <c r="C67" s="451"/>
      <c r="D67" s="452"/>
      <c r="E67" s="446"/>
      <c r="F67" s="446"/>
      <c r="G67" s="446"/>
      <c r="H67" s="446"/>
      <c r="I67" s="446"/>
      <c r="L67" s="11"/>
      <c r="M67" s="11"/>
      <c r="N67" s="11"/>
      <c r="O67" s="11"/>
      <c r="P67" s="11"/>
      <c r="Q67" s="11"/>
    </row>
    <row r="68" spans="2:17" ht="21.6" customHeight="1" thickBot="1" x14ac:dyDescent="0.25">
      <c r="B68" s="686" t="s">
        <v>233</v>
      </c>
      <c r="C68" s="428" t="s">
        <v>299</v>
      </c>
      <c r="D68" s="389">
        <v>1.05</v>
      </c>
      <c r="E68" s="616" t="s">
        <v>356</v>
      </c>
      <c r="F68" s="617"/>
      <c r="G68" s="617"/>
      <c r="H68" s="617"/>
      <c r="I68" s="618"/>
      <c r="K68" s="628" t="s">
        <v>230</v>
      </c>
      <c r="L68" s="629"/>
      <c r="M68" s="629"/>
      <c r="N68" s="629"/>
      <c r="O68" s="629"/>
      <c r="P68" s="630"/>
      <c r="Q68" s="465"/>
    </row>
    <row r="69" spans="2:17" ht="18" customHeight="1" x14ac:dyDescent="0.2">
      <c r="B69" s="686"/>
      <c r="C69" s="420" t="s">
        <v>290</v>
      </c>
      <c r="D69" s="389">
        <v>1.95</v>
      </c>
      <c r="E69" s="651" t="s">
        <v>276</v>
      </c>
      <c r="F69" s="651"/>
      <c r="G69" s="651"/>
      <c r="H69" s="651"/>
      <c r="I69" s="651"/>
      <c r="K69" s="689" t="s">
        <v>222</v>
      </c>
      <c r="L69" s="691" t="s">
        <v>223</v>
      </c>
      <c r="M69" s="691" t="s">
        <v>268</v>
      </c>
      <c r="N69" s="695" t="s">
        <v>291</v>
      </c>
      <c r="O69" s="693" t="s">
        <v>229</v>
      </c>
      <c r="P69" s="694"/>
      <c r="Q69" s="461"/>
    </row>
    <row r="70" spans="2:17" ht="18" customHeight="1" thickBot="1" x14ac:dyDescent="0.25">
      <c r="B70" s="686"/>
      <c r="C70" s="353" t="s">
        <v>266</v>
      </c>
      <c r="D70" s="389">
        <v>1.75</v>
      </c>
      <c r="E70" s="651"/>
      <c r="F70" s="651"/>
      <c r="G70" s="651"/>
      <c r="H70" s="651"/>
      <c r="I70" s="651"/>
      <c r="K70" s="690"/>
      <c r="L70" s="692"/>
      <c r="M70" s="692"/>
      <c r="N70" s="696"/>
      <c r="O70" s="414" t="s">
        <v>269</v>
      </c>
      <c r="P70" s="415" t="s">
        <v>270</v>
      </c>
      <c r="Q70" s="461"/>
    </row>
    <row r="71" spans="2:17" ht="18" customHeight="1" x14ac:dyDescent="0.2">
      <c r="B71" s="686"/>
      <c r="C71" s="412" t="s">
        <v>267</v>
      </c>
      <c r="D71" s="389">
        <v>1.35</v>
      </c>
      <c r="E71" s="651"/>
      <c r="F71" s="651"/>
      <c r="G71" s="651"/>
      <c r="H71" s="651"/>
      <c r="I71" s="651"/>
      <c r="K71" s="645" t="s">
        <v>24</v>
      </c>
      <c r="L71" s="647" t="s">
        <v>221</v>
      </c>
      <c r="M71" s="649">
        <v>1.25</v>
      </c>
      <c r="N71" s="715">
        <v>1.95</v>
      </c>
      <c r="O71" s="712">
        <v>1.75</v>
      </c>
      <c r="P71" s="642">
        <v>1.35</v>
      </c>
      <c r="Q71" s="470"/>
    </row>
    <row r="72" spans="2:17" ht="18" customHeight="1" x14ac:dyDescent="0.2">
      <c r="B72" s="686"/>
      <c r="C72" s="401" t="s">
        <v>376</v>
      </c>
      <c r="D72" s="389">
        <v>1.4</v>
      </c>
      <c r="E72" s="651"/>
      <c r="F72" s="651"/>
      <c r="G72" s="651"/>
      <c r="H72" s="651"/>
      <c r="I72" s="651"/>
      <c r="K72" s="645"/>
      <c r="L72" s="647"/>
      <c r="M72" s="649"/>
      <c r="N72" s="649"/>
      <c r="O72" s="713"/>
      <c r="P72" s="643"/>
      <c r="Q72" s="470"/>
    </row>
    <row r="73" spans="2:17" ht="28.9" customHeight="1" x14ac:dyDescent="0.2">
      <c r="B73" s="686"/>
      <c r="C73" s="401" t="s">
        <v>379</v>
      </c>
      <c r="D73" s="527">
        <v>90</v>
      </c>
      <c r="E73" s="720" t="s">
        <v>392</v>
      </c>
      <c r="F73" s="721"/>
      <c r="G73" s="721"/>
      <c r="H73" s="721"/>
      <c r="I73" s="722"/>
      <c r="K73" s="645"/>
      <c r="L73" s="647"/>
      <c r="M73" s="649"/>
      <c r="N73" s="649"/>
      <c r="O73" s="713"/>
      <c r="P73" s="643"/>
      <c r="Q73" s="470"/>
    </row>
    <row r="74" spans="2:17" ht="7.15" customHeight="1" x14ac:dyDescent="0.2">
      <c r="K74" s="645"/>
      <c r="L74" s="647"/>
      <c r="M74" s="649"/>
      <c r="N74" s="649"/>
      <c r="O74" s="713"/>
      <c r="P74" s="643"/>
      <c r="Q74" s="470"/>
    </row>
    <row r="75" spans="2:17" ht="28.9" customHeight="1" thickBot="1" x14ac:dyDescent="0.25">
      <c r="B75" s="449" t="s">
        <v>330</v>
      </c>
      <c r="C75" s="444" t="s">
        <v>332</v>
      </c>
      <c r="D75" s="389">
        <v>1</v>
      </c>
      <c r="E75" s="709" t="s">
        <v>333</v>
      </c>
      <c r="F75" s="710"/>
      <c r="G75" s="710"/>
      <c r="H75" s="710"/>
      <c r="I75" s="711"/>
      <c r="K75" s="646"/>
      <c r="L75" s="648"/>
      <c r="M75" s="650"/>
      <c r="N75" s="650"/>
      <c r="O75" s="714"/>
      <c r="P75" s="644"/>
      <c r="Q75" s="470"/>
    </row>
    <row r="76" spans="2:17" ht="27.6" customHeight="1" thickBot="1" x14ac:dyDescent="0.25">
      <c r="B76" s="447" t="s">
        <v>331</v>
      </c>
      <c r="C76" s="453" t="s">
        <v>334</v>
      </c>
      <c r="D76" s="389">
        <v>1</v>
      </c>
      <c r="E76" s="709" t="s">
        <v>353</v>
      </c>
      <c r="F76" s="710"/>
      <c r="G76" s="710"/>
      <c r="H76" s="710"/>
      <c r="I76" s="711"/>
    </row>
    <row r="77" spans="2:17" ht="27.6" customHeight="1" x14ac:dyDescent="0.25">
      <c r="B77" s="467"/>
      <c r="C77" s="454" t="s">
        <v>357</v>
      </c>
      <c r="D77" s="456">
        <f>MAX(D75*D76, 0.85)</f>
        <v>1</v>
      </c>
      <c r="E77" s="468"/>
      <c r="F77" s="468"/>
      <c r="G77" s="468"/>
      <c r="H77" s="468"/>
      <c r="I77" s="468"/>
      <c r="K77" s="634" t="s">
        <v>359</v>
      </c>
      <c r="L77" s="635"/>
      <c r="M77" s="635"/>
      <c r="N77" s="636"/>
      <c r="O77" s="464"/>
      <c r="P77" s="464"/>
    </row>
    <row r="78" spans="2:17" ht="27.6" customHeight="1" thickBot="1" x14ac:dyDescent="0.25">
      <c r="B78" s="467"/>
      <c r="C78" s="454"/>
      <c r="D78" s="469"/>
      <c r="E78" s="468"/>
      <c r="F78" s="468"/>
      <c r="G78" s="468"/>
      <c r="H78" s="468"/>
      <c r="I78" s="468"/>
      <c r="K78" s="637"/>
      <c r="L78" s="638"/>
      <c r="M78" s="638"/>
      <c r="N78" s="639"/>
      <c r="O78" s="465"/>
      <c r="P78" s="465"/>
    </row>
    <row r="79" spans="2:17" ht="27.6" customHeight="1" x14ac:dyDescent="0.2">
      <c r="B79" s="467"/>
      <c r="C79" s="454"/>
      <c r="D79" s="469"/>
      <c r="E79" s="468"/>
      <c r="F79" s="468"/>
      <c r="G79" s="468"/>
      <c r="H79" s="468"/>
      <c r="I79" s="468"/>
      <c r="K79" s="640" t="s">
        <v>360</v>
      </c>
      <c r="L79" s="641"/>
      <c r="M79" s="631" t="s">
        <v>361</v>
      </c>
      <c r="N79" s="632"/>
      <c r="O79" s="633"/>
      <c r="P79" s="633"/>
    </row>
    <row r="80" spans="2:17" ht="27.6" customHeight="1" x14ac:dyDescent="0.2">
      <c r="B80" s="467"/>
      <c r="C80" s="454"/>
      <c r="D80" s="469"/>
      <c r="E80" s="468"/>
      <c r="F80" s="468"/>
      <c r="G80" s="468"/>
      <c r="H80" s="468"/>
      <c r="I80" s="468"/>
      <c r="K80" s="716" t="s">
        <v>362</v>
      </c>
      <c r="L80" s="717"/>
      <c r="M80" s="718">
        <v>1.45</v>
      </c>
      <c r="N80" s="719"/>
      <c r="O80" s="466"/>
      <c r="P80" s="461"/>
    </row>
    <row r="81" spans="2:17" ht="27.6" customHeight="1" x14ac:dyDescent="0.2">
      <c r="B81" s="467"/>
      <c r="C81" s="454"/>
      <c r="D81" s="469"/>
      <c r="E81" s="468"/>
      <c r="F81" s="468"/>
      <c r="G81" s="468"/>
      <c r="H81" s="468"/>
      <c r="I81" s="468"/>
      <c r="K81" s="671" t="s">
        <v>363</v>
      </c>
      <c r="L81" s="672"/>
      <c r="M81" s="673">
        <v>1.45</v>
      </c>
      <c r="N81" s="674"/>
      <c r="O81" s="678" t="s">
        <v>364</v>
      </c>
      <c r="P81" s="679"/>
    </row>
    <row r="82" spans="2:17" ht="27.6" customHeight="1" thickBot="1" x14ac:dyDescent="0.25">
      <c r="B82" s="467"/>
      <c r="C82" s="454"/>
      <c r="D82" s="469"/>
      <c r="E82" s="468"/>
      <c r="F82" s="468"/>
      <c r="G82" s="468"/>
      <c r="H82" s="468"/>
      <c r="I82" s="468"/>
      <c r="K82" s="682" t="s">
        <v>365</v>
      </c>
      <c r="L82" s="683"/>
      <c r="M82" s="684">
        <v>1.3</v>
      </c>
      <c r="N82" s="685"/>
      <c r="O82" s="680"/>
      <c r="P82" s="681"/>
    </row>
    <row r="83" spans="2:17" ht="27.6" customHeight="1" x14ac:dyDescent="0.2">
      <c r="B83" s="467"/>
      <c r="C83" s="454"/>
      <c r="D83" s="469"/>
      <c r="E83" s="468"/>
      <c r="F83" s="468"/>
      <c r="G83" s="468"/>
      <c r="H83" s="468"/>
      <c r="I83" s="468"/>
    </row>
    <row r="84" spans="2:17" ht="27.6" customHeight="1" thickBot="1" x14ac:dyDescent="0.25">
      <c r="B84" s="467"/>
      <c r="C84" s="454"/>
      <c r="D84" s="469"/>
      <c r="E84" s="468"/>
      <c r="F84" s="468"/>
      <c r="G84" s="468"/>
      <c r="H84" s="468"/>
      <c r="I84" s="468"/>
    </row>
    <row r="85" spans="2:17" ht="22.9" customHeight="1" thickBot="1" x14ac:dyDescent="0.25">
      <c r="B85" s="450"/>
      <c r="K85" s="666" t="s">
        <v>343</v>
      </c>
      <c r="L85" s="667"/>
      <c r="M85" s="667"/>
      <c r="N85" s="667"/>
      <c r="O85" s="667"/>
      <c r="P85" s="667"/>
      <c r="Q85" s="668"/>
    </row>
    <row r="86" spans="2:17" ht="29.45" customHeight="1" thickBot="1" x14ac:dyDescent="0.25">
      <c r="K86" s="669" t="s">
        <v>335</v>
      </c>
      <c r="L86" s="670"/>
      <c r="M86" s="670"/>
      <c r="N86" s="670" t="s">
        <v>337</v>
      </c>
      <c r="O86" s="670"/>
      <c r="P86" s="670"/>
      <c r="Q86" s="448" t="s">
        <v>336</v>
      </c>
    </row>
    <row r="87" spans="2:17" ht="19.899999999999999" customHeight="1" x14ac:dyDescent="0.2">
      <c r="C87" s="687"/>
      <c r="D87" s="688"/>
      <c r="E87" s="688"/>
      <c r="F87" s="688"/>
      <c r="G87" s="688"/>
      <c r="K87" s="700" t="s">
        <v>338</v>
      </c>
      <c r="L87" s="701"/>
      <c r="M87" s="701"/>
      <c r="N87" s="702" t="s">
        <v>339</v>
      </c>
      <c r="O87" s="701"/>
      <c r="P87" s="701"/>
      <c r="Q87" s="457">
        <v>1</v>
      </c>
    </row>
    <row r="88" spans="2:17" ht="19.899999999999999" customHeight="1" x14ac:dyDescent="0.2">
      <c r="K88" s="703" t="s">
        <v>340</v>
      </c>
      <c r="L88" s="704"/>
      <c r="M88" s="704"/>
      <c r="N88" s="705">
        <v>5</v>
      </c>
      <c r="O88" s="704"/>
      <c r="P88" s="704"/>
      <c r="Q88" s="458">
        <v>0.95</v>
      </c>
    </row>
    <row r="89" spans="2:17" ht="19.899999999999999" customHeight="1" thickBot="1" x14ac:dyDescent="0.25">
      <c r="K89" s="706" t="s">
        <v>341</v>
      </c>
      <c r="L89" s="707"/>
      <c r="M89" s="707"/>
      <c r="N89" s="708" t="s">
        <v>342</v>
      </c>
      <c r="O89" s="707"/>
      <c r="P89" s="707"/>
      <c r="Q89" s="459">
        <v>0.85</v>
      </c>
    </row>
    <row r="90" spans="2:17" ht="13.5" thickBot="1" x14ac:dyDescent="0.25"/>
    <row r="91" spans="2:17" ht="24.6" customHeight="1" thickBot="1" x14ac:dyDescent="0.25">
      <c r="K91" s="697" t="s">
        <v>354</v>
      </c>
      <c r="L91" s="698"/>
      <c r="M91" s="698"/>
      <c r="N91" s="698"/>
      <c r="O91" s="698"/>
      <c r="P91" s="698"/>
      <c r="Q91" s="699"/>
    </row>
    <row r="92" spans="2:17" ht="27" customHeight="1" thickBot="1" x14ac:dyDescent="0.25">
      <c r="K92" s="657" t="s">
        <v>344</v>
      </c>
      <c r="L92" s="658"/>
      <c r="M92" s="658"/>
      <c r="N92" s="658"/>
      <c r="O92" s="658"/>
      <c r="P92" s="659"/>
      <c r="Q92" s="448" t="s">
        <v>345</v>
      </c>
    </row>
    <row r="93" spans="2:17" ht="19.899999999999999" customHeight="1" x14ac:dyDescent="0.2">
      <c r="K93" s="660" t="s">
        <v>346</v>
      </c>
      <c r="L93" s="661"/>
      <c r="M93" s="661"/>
      <c r="N93" s="661"/>
      <c r="O93" s="661"/>
      <c r="P93" s="662"/>
      <c r="Q93" s="460">
        <v>0.85</v>
      </c>
    </row>
    <row r="94" spans="2:17" ht="19.899999999999999" customHeight="1" x14ac:dyDescent="0.2">
      <c r="K94" s="663" t="s">
        <v>347</v>
      </c>
      <c r="L94" s="664"/>
      <c r="M94" s="664"/>
      <c r="N94" s="664"/>
      <c r="O94" s="664"/>
      <c r="P94" s="665"/>
      <c r="Q94" s="458">
        <v>0.9</v>
      </c>
    </row>
    <row r="95" spans="2:17" ht="19.899999999999999" customHeight="1" x14ac:dyDescent="0.2">
      <c r="K95" s="663" t="s">
        <v>348</v>
      </c>
      <c r="L95" s="664"/>
      <c r="M95" s="664"/>
      <c r="N95" s="664"/>
      <c r="O95" s="664"/>
      <c r="P95" s="665"/>
      <c r="Q95" s="458">
        <v>0.9</v>
      </c>
    </row>
    <row r="96" spans="2:17" ht="19.899999999999999" customHeight="1" x14ac:dyDescent="0.2">
      <c r="K96" s="675" t="s">
        <v>355</v>
      </c>
      <c r="L96" s="676"/>
      <c r="M96" s="676"/>
      <c r="N96" s="676"/>
      <c r="O96" s="676"/>
      <c r="P96" s="677"/>
      <c r="Q96" s="457">
        <v>0.85</v>
      </c>
    </row>
    <row r="97" spans="11:17" ht="19.899999999999999" customHeight="1" x14ac:dyDescent="0.2">
      <c r="K97" s="663" t="s">
        <v>349</v>
      </c>
      <c r="L97" s="664"/>
      <c r="M97" s="664"/>
      <c r="N97" s="664"/>
      <c r="O97" s="664"/>
      <c r="P97" s="665"/>
      <c r="Q97" s="458">
        <v>0.95</v>
      </c>
    </row>
    <row r="98" spans="11:17" ht="19.899999999999999" customHeight="1" x14ac:dyDescent="0.2">
      <c r="K98" s="663" t="s">
        <v>350</v>
      </c>
      <c r="L98" s="664"/>
      <c r="M98" s="664"/>
      <c r="N98" s="664"/>
      <c r="O98" s="664"/>
      <c r="P98" s="665"/>
      <c r="Q98" s="458">
        <v>1</v>
      </c>
    </row>
    <row r="99" spans="11:17" ht="19.899999999999999" customHeight="1" x14ac:dyDescent="0.2">
      <c r="K99" s="663" t="s">
        <v>351</v>
      </c>
      <c r="L99" s="664"/>
      <c r="M99" s="664"/>
      <c r="N99" s="664"/>
      <c r="O99" s="664"/>
      <c r="P99" s="665"/>
      <c r="Q99" s="458">
        <v>0.85</v>
      </c>
    </row>
    <row r="100" spans="11:17" ht="19.899999999999999" customHeight="1" thickBot="1" x14ac:dyDescent="0.25">
      <c r="K100" s="654" t="s">
        <v>352</v>
      </c>
      <c r="L100" s="655"/>
      <c r="M100" s="655"/>
      <c r="N100" s="655"/>
      <c r="O100" s="655"/>
      <c r="P100" s="656"/>
      <c r="Q100" s="459">
        <v>1</v>
      </c>
    </row>
  </sheetData>
  <mergeCells count="103">
    <mergeCell ref="B68:B73"/>
    <mergeCell ref="C87:G87"/>
    <mergeCell ref="K69:K70"/>
    <mergeCell ref="L69:L70"/>
    <mergeCell ref="M69:M70"/>
    <mergeCell ref="O69:P69"/>
    <mergeCell ref="N69:N70"/>
    <mergeCell ref="K91:Q91"/>
    <mergeCell ref="K87:M87"/>
    <mergeCell ref="N87:P87"/>
    <mergeCell ref="K88:M88"/>
    <mergeCell ref="N88:P88"/>
    <mergeCell ref="K89:M89"/>
    <mergeCell ref="N89:P89"/>
    <mergeCell ref="E75:I75"/>
    <mergeCell ref="E76:I76"/>
    <mergeCell ref="O71:O75"/>
    <mergeCell ref="N71:N75"/>
    <mergeCell ref="K80:L80"/>
    <mergeCell ref="M80:N80"/>
    <mergeCell ref="E73:I73"/>
    <mergeCell ref="K100:P100"/>
    <mergeCell ref="K92:P92"/>
    <mergeCell ref="K93:P93"/>
    <mergeCell ref="K94:P94"/>
    <mergeCell ref="K95:P95"/>
    <mergeCell ref="K85:Q85"/>
    <mergeCell ref="K86:M86"/>
    <mergeCell ref="N86:P86"/>
    <mergeCell ref="K81:L81"/>
    <mergeCell ref="M81:N81"/>
    <mergeCell ref="K96:P96"/>
    <mergeCell ref="K97:P97"/>
    <mergeCell ref="K98:P98"/>
    <mergeCell ref="K99:P99"/>
    <mergeCell ref="O81:P82"/>
    <mergeCell ref="K82:L82"/>
    <mergeCell ref="M82:N82"/>
    <mergeCell ref="K41:P47"/>
    <mergeCell ref="K48:P50"/>
    <mergeCell ref="K40:P40"/>
    <mergeCell ref="E68:I68"/>
    <mergeCell ref="D41:E41"/>
    <mergeCell ref="F48:I50"/>
    <mergeCell ref="K68:P68"/>
    <mergeCell ref="M79:N79"/>
    <mergeCell ref="O79:P79"/>
    <mergeCell ref="K77:N78"/>
    <mergeCell ref="K79:L79"/>
    <mergeCell ref="P71:P75"/>
    <mergeCell ref="K71:K75"/>
    <mergeCell ref="L71:L75"/>
    <mergeCell ref="M71:M75"/>
    <mergeCell ref="E69:I72"/>
    <mergeCell ref="E45:H45"/>
    <mergeCell ref="E2:H2"/>
    <mergeCell ref="G3:H3"/>
    <mergeCell ref="G4:H4"/>
    <mergeCell ref="G5:H5"/>
    <mergeCell ref="B8:I28"/>
    <mergeCell ref="B7:I7"/>
    <mergeCell ref="D35:G35"/>
    <mergeCell ref="B34:H34"/>
    <mergeCell ref="D39:E39"/>
    <mergeCell ref="D37:H37"/>
    <mergeCell ref="B29:I29"/>
    <mergeCell ref="B36:C36"/>
    <mergeCell ref="D36:H36"/>
    <mergeCell ref="F39:H41"/>
    <mergeCell ref="B30:I30"/>
    <mergeCell ref="B31:I31"/>
    <mergeCell ref="B32:I32"/>
    <mergeCell ref="B39:C39"/>
    <mergeCell ref="D40:E40"/>
    <mergeCell ref="B40:C40"/>
    <mergeCell ref="B37:C37"/>
    <mergeCell ref="B41:C41"/>
    <mergeCell ref="B38:C38"/>
    <mergeCell ref="D38:H38"/>
    <mergeCell ref="B63:B66"/>
    <mergeCell ref="D42:E42"/>
    <mergeCell ref="E64:I66"/>
    <mergeCell ref="E47:H47"/>
    <mergeCell ref="D52:E52"/>
    <mergeCell ref="B52:C52"/>
    <mergeCell ref="D51:E51"/>
    <mergeCell ref="B51:C51"/>
    <mergeCell ref="C64:C66"/>
    <mergeCell ref="D64:D66"/>
    <mergeCell ref="B54:I54"/>
    <mergeCell ref="B42:C42"/>
    <mergeCell ref="E46:H46"/>
    <mergeCell ref="B43:C43"/>
    <mergeCell ref="D43:E43"/>
    <mergeCell ref="D44:E44"/>
    <mergeCell ref="B44:C44"/>
    <mergeCell ref="B55:B57"/>
    <mergeCell ref="B59:B61"/>
    <mergeCell ref="E59:I61"/>
    <mergeCell ref="D59:D61"/>
    <mergeCell ref="C59:C61"/>
    <mergeCell ref="E55:I57"/>
    <mergeCell ref="B45:C50"/>
  </mergeCells>
  <dataValidations count="6">
    <dataValidation type="list" allowBlank="1" showInputMessage="1" showErrorMessage="1" sqref="E47">
      <formula1>Gage_number</formula1>
    </dataValidation>
    <dataValidation type="list" allowBlank="1" showInputMessage="1" showErrorMessage="1" sqref="E45:H45">
      <formula1>metal_type</formula1>
    </dataValidation>
    <dataValidation type="list" allowBlank="1" showInputMessage="1" showErrorMessage="1" sqref="E46:H46">
      <formula1>corrugation_all</formula1>
    </dataValidation>
    <dataValidation type="list" allowBlank="1" showInputMessage="1" showErrorMessage="1" sqref="D36">
      <formula1>structure_type</formula1>
    </dataValidation>
    <dataValidation type="list" allowBlank="1" showInputMessage="1" showErrorMessage="1" sqref="D37:H37">
      <formula1>seam_type</formula1>
    </dataValidation>
    <dataValidation type="list" allowBlank="1" showInputMessage="1" showErrorMessage="1" sqref="D38:H38">
      <formula1>structure_category</formula1>
    </dataValidation>
  </dataValidations>
  <printOptions horizontalCentered="1"/>
  <pageMargins left="0.7" right="0.7" top="0.75" bottom="0.75" header="0.3" footer="0.3"/>
  <pageSetup orientation="landscape" r:id="rId1"/>
  <headerFooter>
    <oddFooter>&amp;LRevised by ODOT 5/2016&amp;CPage &amp;P of 10</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54"/>
  <sheetViews>
    <sheetView showGridLines="0" zoomScale="80" zoomScaleNormal="80" zoomScaleSheetLayoutView="96" workbookViewId="0"/>
  </sheetViews>
  <sheetFormatPr defaultColWidth="8.85546875" defaultRowHeight="12.75" x14ac:dyDescent="0.2"/>
  <cols>
    <col min="1" max="1" width="13" style="34" customWidth="1"/>
    <col min="2" max="2" width="18.85546875" style="34" customWidth="1"/>
    <col min="3" max="3" width="12.5703125" style="34" customWidth="1"/>
    <col min="4" max="4" width="12.28515625" style="34" customWidth="1"/>
    <col min="5" max="5" width="7.7109375" style="34" customWidth="1"/>
    <col min="6" max="6" width="10" style="34" customWidth="1"/>
    <col min="7" max="8" width="8.7109375" style="34" customWidth="1"/>
    <col min="9" max="16384" width="8.85546875" style="34"/>
  </cols>
  <sheetData>
    <row r="1" spans="1:12" ht="4.9000000000000004" customHeight="1" thickBot="1" x14ac:dyDescent="0.25"/>
    <row r="2" spans="1:12" ht="17.45" customHeight="1" thickTop="1" x14ac:dyDescent="0.2">
      <c r="A2" s="32" t="s">
        <v>6</v>
      </c>
      <c r="B2" s="294" t="str">
        <f>'CMP Input'!C2</f>
        <v>MAD-323-0613</v>
      </c>
      <c r="C2" s="33" t="s">
        <v>378</v>
      </c>
      <c r="D2" s="757" t="str">
        <f>'CMP Input'!E2</f>
        <v>ODOT</v>
      </c>
      <c r="E2" s="757"/>
      <c r="F2" s="757"/>
      <c r="G2" s="757"/>
      <c r="H2" s="493"/>
    </row>
    <row r="3" spans="1:12" ht="15" customHeight="1" x14ac:dyDescent="0.2">
      <c r="A3" s="35" t="s">
        <v>8</v>
      </c>
      <c r="B3" s="295">
        <f>'CMP Input'!C3</f>
        <v>4904036</v>
      </c>
      <c r="C3" s="36" t="s">
        <v>7</v>
      </c>
      <c r="D3" s="763"/>
      <c r="E3" s="763"/>
      <c r="F3" s="763"/>
      <c r="G3" s="763"/>
      <c r="H3" s="764"/>
    </row>
    <row r="4" spans="1:12" ht="15" customHeight="1" x14ac:dyDescent="0.2">
      <c r="A4" s="35" t="s">
        <v>10</v>
      </c>
      <c r="B4" s="296">
        <f>'CMP Input'!C4</f>
        <v>1961</v>
      </c>
      <c r="C4" s="36" t="s">
        <v>11</v>
      </c>
      <c r="D4" s="525" t="str">
        <f>'CMP Input'!E4</f>
        <v>CW</v>
      </c>
      <c r="E4" s="37" t="s">
        <v>3</v>
      </c>
      <c r="F4" s="758">
        <f>'CMP Input'!G4</f>
        <v>40940</v>
      </c>
      <c r="G4" s="758"/>
      <c r="H4" s="526"/>
    </row>
    <row r="5" spans="1:12" ht="15" customHeight="1" x14ac:dyDescent="0.2">
      <c r="A5" s="35" t="s">
        <v>12</v>
      </c>
      <c r="B5" s="511" t="str">
        <f>'CMP Input'!C5</f>
        <v>Corrugated Metal Pipe</v>
      </c>
      <c r="C5" s="36" t="s">
        <v>17</v>
      </c>
      <c r="D5" s="349" t="str">
        <f>'CMP Input'!E5</f>
        <v>WJB</v>
      </c>
      <c r="E5" s="37" t="s">
        <v>3</v>
      </c>
      <c r="F5" s="759">
        <f>'CMP Input'!G5</f>
        <v>40970</v>
      </c>
      <c r="G5" s="759"/>
      <c r="H5" s="494"/>
    </row>
    <row r="6" spans="1:12" ht="7.15" customHeight="1" thickBot="1" x14ac:dyDescent="0.25">
      <c r="A6" s="39"/>
      <c r="B6" s="40"/>
      <c r="C6" s="41"/>
      <c r="D6" s="42"/>
      <c r="E6" s="42"/>
      <c r="F6" s="43"/>
      <c r="G6" s="43"/>
      <c r="H6" s="495"/>
    </row>
    <row r="7" spans="1:12" ht="28.9" customHeight="1" thickTop="1" x14ac:dyDescent="0.2">
      <c r="A7" s="755" t="s">
        <v>284</v>
      </c>
      <c r="B7" s="755"/>
      <c r="C7" s="755"/>
      <c r="D7" s="755"/>
      <c r="E7" s="755"/>
      <c r="F7" s="755"/>
      <c r="G7" s="755"/>
      <c r="H7" s="403"/>
    </row>
    <row r="8" spans="1:12" s="6" customFormat="1" ht="32.450000000000003" customHeight="1" x14ac:dyDescent="0.3">
      <c r="A8" s="736" t="s">
        <v>253</v>
      </c>
      <c r="B8" s="736"/>
      <c r="C8" s="736"/>
      <c r="D8" s="736"/>
      <c r="E8" s="736"/>
      <c r="F8" s="736"/>
      <c r="G8" s="736"/>
      <c r="H8" s="736"/>
      <c r="I8" s="22"/>
      <c r="J8" s="22"/>
      <c r="K8" s="22"/>
      <c r="L8" s="22"/>
    </row>
    <row r="9" spans="1:12" s="6" customFormat="1" ht="16.899999999999999" customHeight="1" x14ac:dyDescent="0.3">
      <c r="A9" s="756" t="s">
        <v>252</v>
      </c>
      <c r="B9" s="756"/>
      <c r="C9" s="756"/>
      <c r="D9" s="756"/>
      <c r="E9" s="756"/>
      <c r="F9" s="756"/>
      <c r="G9" s="756"/>
      <c r="H9" s="404"/>
      <c r="I9" s="22"/>
      <c r="J9" s="22"/>
      <c r="K9" s="22"/>
      <c r="L9" s="22"/>
    </row>
    <row r="10" spans="1:12" ht="4.1500000000000004" customHeight="1" x14ac:dyDescent="0.25">
      <c r="A10" s="402"/>
      <c r="B10" s="402"/>
      <c r="C10" s="402"/>
      <c r="D10" s="402"/>
      <c r="E10" s="402"/>
      <c r="F10" s="402"/>
      <c r="G10" s="402"/>
    </row>
    <row r="11" spans="1:12" ht="19.149999999999999" customHeight="1" x14ac:dyDescent="0.2">
      <c r="A11" s="742" t="s">
        <v>90</v>
      </c>
      <c r="B11" s="742"/>
      <c r="C11" s="44"/>
      <c r="D11" s="44"/>
      <c r="E11" s="44"/>
      <c r="F11" s="44"/>
      <c r="G11" s="44"/>
    </row>
    <row r="12" spans="1:12" ht="16.149999999999999" customHeight="1" x14ac:dyDescent="0.2">
      <c r="A12" s="743" t="s">
        <v>274</v>
      </c>
      <c r="B12" s="743"/>
      <c r="C12" s="743"/>
      <c r="D12" s="743"/>
      <c r="E12" s="743"/>
      <c r="F12" s="743"/>
      <c r="G12" s="405"/>
    </row>
    <row r="13" spans="1:12" ht="16.149999999999999" customHeight="1" x14ac:dyDescent="0.2">
      <c r="A13" s="727" t="s">
        <v>275</v>
      </c>
      <c r="B13" s="727"/>
      <c r="C13" s="727"/>
      <c r="D13" s="727"/>
      <c r="E13" s="727"/>
      <c r="F13" s="727"/>
    </row>
    <row r="14" spans="1:12" ht="16.149999999999999" customHeight="1" x14ac:dyDescent="0.2">
      <c r="A14" s="727" t="s">
        <v>255</v>
      </c>
      <c r="B14" s="727"/>
      <c r="C14" s="727"/>
      <c r="D14" s="727"/>
      <c r="E14" s="727"/>
      <c r="F14" s="727"/>
    </row>
    <row r="15" spans="1:12" ht="25.9" customHeight="1" x14ac:dyDescent="0.2">
      <c r="A15" s="743" t="s">
        <v>287</v>
      </c>
      <c r="B15" s="743"/>
      <c r="C15" s="743"/>
      <c r="D15" s="743"/>
      <c r="E15" s="743"/>
      <c r="F15" s="743"/>
      <c r="G15" s="743"/>
      <c r="H15" s="743"/>
    </row>
    <row r="16" spans="1:12" ht="16.149999999999999" customHeight="1" x14ac:dyDescent="0.2">
      <c r="A16" s="743"/>
      <c r="B16" s="743"/>
      <c r="C16" s="743"/>
      <c r="D16" s="743"/>
      <c r="E16" s="743"/>
      <c r="F16" s="743"/>
      <c r="G16" s="743"/>
      <c r="H16" s="743"/>
    </row>
    <row r="17" spans="1:8" ht="28.9" customHeight="1" x14ac:dyDescent="0.2">
      <c r="A17" s="743" t="s">
        <v>288</v>
      </c>
      <c r="B17" s="743"/>
      <c r="C17" s="743"/>
      <c r="D17" s="743"/>
      <c r="E17" s="743"/>
      <c r="F17" s="743"/>
      <c r="G17" s="743"/>
      <c r="H17" s="743"/>
    </row>
    <row r="18" spans="1:8" ht="5.45" customHeight="1" x14ac:dyDescent="0.2">
      <c r="B18" s="47"/>
      <c r="C18" s="48"/>
    </row>
    <row r="19" spans="1:8" ht="20.45" customHeight="1" x14ac:dyDescent="0.2">
      <c r="B19" s="49" t="s">
        <v>166</v>
      </c>
      <c r="C19" s="741" t="s">
        <v>19</v>
      </c>
      <c r="D19" s="741"/>
      <c r="E19" s="741"/>
      <c r="F19" s="50">
        <f>'CMP Input'!D41</f>
        <v>15.42</v>
      </c>
    </row>
    <row r="20" spans="1:8" ht="11.45" customHeight="1" x14ac:dyDescent="0.2"/>
    <row r="21" spans="1:8" ht="18" customHeight="1" x14ac:dyDescent="0.2">
      <c r="B21" s="744" t="s">
        <v>167</v>
      </c>
      <c r="C21" s="741" t="s">
        <v>20</v>
      </c>
      <c r="D21" s="741"/>
      <c r="E21" s="741"/>
      <c r="F21" s="50">
        <f>2*'CMP Input'!D44</f>
        <v>14.5</v>
      </c>
    </row>
    <row r="22" spans="1:8" ht="18" customHeight="1" x14ac:dyDescent="0.2">
      <c r="B22" s="745"/>
      <c r="C22" s="741" t="s">
        <v>18</v>
      </c>
      <c r="D22" s="741"/>
      <c r="E22" s="741"/>
      <c r="F22" s="51">
        <f>'CMP Input'!D51</f>
        <v>0.05</v>
      </c>
    </row>
    <row r="23" spans="1:8" ht="18" customHeight="1" x14ac:dyDescent="0.2">
      <c r="B23" s="746"/>
      <c r="C23" s="760" t="s">
        <v>227</v>
      </c>
      <c r="D23" s="760"/>
      <c r="E23" s="760"/>
      <c r="F23" s="50">
        <f>-5.6*F22+0.95</f>
        <v>0.66999999999999993</v>
      </c>
    </row>
    <row r="24" spans="1:8" ht="16.149999999999999" customHeight="1" x14ac:dyDescent="0.2">
      <c r="B24" s="761" t="s">
        <v>257</v>
      </c>
      <c r="C24" s="761"/>
      <c r="D24" s="761"/>
      <c r="E24" s="761"/>
      <c r="F24" s="761"/>
    </row>
    <row r="25" spans="1:8" ht="27.6" customHeight="1" x14ac:dyDescent="0.2">
      <c r="B25" s="761"/>
      <c r="C25" s="761"/>
      <c r="D25" s="761"/>
      <c r="E25" s="761"/>
      <c r="F25" s="761"/>
    </row>
    <row r="26" spans="1:8" ht="10.15" customHeight="1" x14ac:dyDescent="0.2">
      <c r="B26" s="287"/>
    </row>
    <row r="27" spans="1:8" ht="18.600000000000001" customHeight="1" x14ac:dyDescent="0.2">
      <c r="B27" s="288" t="s">
        <v>168</v>
      </c>
      <c r="C27" s="741" t="s">
        <v>20</v>
      </c>
      <c r="D27" s="741"/>
      <c r="E27" s="283">
        <f>2*'CMP Input'!D44</f>
        <v>14.5</v>
      </c>
    </row>
    <row r="28" spans="1:8" ht="11.45" customHeight="1" x14ac:dyDescent="0.2">
      <c r="B28" s="287"/>
    </row>
    <row r="29" spans="1:8" ht="18" customHeight="1" x14ac:dyDescent="0.2">
      <c r="A29" s="747" t="s">
        <v>97</v>
      </c>
      <c r="B29" s="748"/>
      <c r="C29" s="749" t="str">
        <f>'CMP Input'!D38</f>
        <v>Typical (NCSPA design data sheet No. 19, II. A. 1.)</v>
      </c>
      <c r="D29" s="749"/>
      <c r="E29" s="749"/>
      <c r="F29" s="749"/>
      <c r="G29" s="92"/>
      <c r="H29" s="71"/>
    </row>
    <row r="30" spans="1:8" ht="10.9" customHeight="1" x14ac:dyDescent="0.2">
      <c r="A30" s="259"/>
      <c r="B30" s="279"/>
      <c r="C30" s="280"/>
      <c r="D30" s="281"/>
      <c r="E30" s="280"/>
      <c r="F30" s="280"/>
      <c r="G30" s="92"/>
      <c r="H30" s="71"/>
    </row>
    <row r="31" spans="1:8" ht="18" customHeight="1" x14ac:dyDescent="0.2">
      <c r="A31" s="750" t="s">
        <v>298</v>
      </c>
      <c r="B31" s="750"/>
      <c r="C31" s="751"/>
      <c r="D31" s="52">
        <f>IF(C29 ="Typical (NCSPA design data sheet no. 19, II. A. 1.)", F19, F21)</f>
        <v>15.42</v>
      </c>
      <c r="H31" s="72"/>
    </row>
    <row r="32" spans="1:8" ht="24.6" customHeight="1" x14ac:dyDescent="0.2">
      <c r="A32" s="750" t="s">
        <v>297</v>
      </c>
      <c r="B32" s="750"/>
      <c r="C32" s="751"/>
      <c r="D32" s="156">
        <f>'CMP Input'!D44:E44</f>
        <v>7.25</v>
      </c>
      <c r="E32" s="739" t="str">
        <f>IF(D33="","", IF(D32&gt;D33, "Long Span Structural Plate Structure Rt exceeds max allowd, Spreadsheet Cannot be Used!",""))</f>
        <v/>
      </c>
      <c r="F32" s="740"/>
      <c r="G32" s="740"/>
      <c r="H32" s="72"/>
    </row>
    <row r="33" spans="1:8" ht="29.45" customHeight="1" x14ac:dyDescent="0.2">
      <c r="A33" s="422"/>
      <c r="B33" s="422"/>
      <c r="C33" s="423" t="s">
        <v>296</v>
      </c>
      <c r="D33" s="285" t="str">
        <f>IF('CMP Input'!D36="Long Span Structural Plate", 25, "")</f>
        <v/>
      </c>
      <c r="E33" s="739"/>
      <c r="F33" s="740"/>
      <c r="G33" s="740"/>
      <c r="H33" s="72"/>
    </row>
    <row r="34" spans="1:8" ht="24.6" customHeight="1" x14ac:dyDescent="0.2">
      <c r="A34" s="422"/>
      <c r="B34" s="422"/>
      <c r="C34" s="423"/>
      <c r="D34" s="762" t="s">
        <v>295</v>
      </c>
      <c r="E34" s="762"/>
      <c r="F34" s="762"/>
      <c r="G34" s="762"/>
      <c r="H34" s="762"/>
    </row>
    <row r="35" spans="1:8" ht="17.45" customHeight="1" x14ac:dyDescent="0.2">
      <c r="A35" s="742" t="s">
        <v>91</v>
      </c>
      <c r="B35" s="742"/>
      <c r="H35" s="72"/>
    </row>
    <row r="36" spans="1:8" ht="6.6" customHeight="1" x14ac:dyDescent="0.2">
      <c r="A36" s="31"/>
      <c r="B36" s="31"/>
      <c r="H36" s="72"/>
    </row>
    <row r="37" spans="1:8" ht="18" customHeight="1" x14ac:dyDescent="0.2">
      <c r="A37" s="80" t="s">
        <v>33</v>
      </c>
      <c r="B37" s="80"/>
      <c r="H37" s="72"/>
    </row>
    <row r="38" spans="1:8" ht="18" customHeight="1" x14ac:dyDescent="0.2">
      <c r="A38" s="80" t="s">
        <v>34</v>
      </c>
      <c r="B38" s="80"/>
      <c r="H38" s="72"/>
    </row>
    <row r="39" spans="1:8" ht="18" customHeight="1" x14ac:dyDescent="0.2">
      <c r="A39" s="31"/>
      <c r="B39" s="183" t="s">
        <v>30</v>
      </c>
      <c r="C39" s="752" t="str">
        <f>'CMP Input'!E45</f>
        <v>Steel</v>
      </c>
      <c r="D39" s="753"/>
      <c r="E39" s="754"/>
      <c r="F39" s="92"/>
      <c r="H39" s="72"/>
    </row>
    <row r="40" spans="1:8" ht="18" customHeight="1" x14ac:dyDescent="0.2">
      <c r="A40" s="31"/>
      <c r="B40" s="741" t="s">
        <v>62</v>
      </c>
      <c r="C40" s="741"/>
      <c r="D40" s="741"/>
      <c r="E40" s="75">
        <f>VLOOKUP(C39,'Reference tables'!C32:F36,3,FALSE)</f>
        <v>33</v>
      </c>
      <c r="F40" s="76" t="s">
        <v>32</v>
      </c>
      <c r="H40" s="72"/>
    </row>
    <row r="41" spans="1:8" ht="18" customHeight="1" x14ac:dyDescent="0.2">
      <c r="A41" s="31"/>
      <c r="B41" s="741" t="s">
        <v>63</v>
      </c>
      <c r="C41" s="741"/>
      <c r="D41" s="741"/>
      <c r="E41" s="75">
        <f>VLOOKUP(C39,'Reference tables'!C32:F36,2,FALSE)</f>
        <v>45</v>
      </c>
      <c r="F41" s="76" t="s">
        <v>32</v>
      </c>
      <c r="H41" s="72"/>
    </row>
    <row r="42" spans="1:8" ht="18" customHeight="1" x14ac:dyDescent="0.2">
      <c r="A42" s="31"/>
      <c r="B42" s="741" t="s">
        <v>61</v>
      </c>
      <c r="C42" s="741"/>
      <c r="D42" s="741"/>
      <c r="E42" s="75">
        <f>VLOOKUP(C39,'Reference tables'!C32:F36,4,FALSE)</f>
        <v>29000</v>
      </c>
      <c r="F42" s="76" t="s">
        <v>32</v>
      </c>
      <c r="H42" s="72"/>
    </row>
    <row r="43" spans="1:8" ht="7.15" customHeight="1" x14ac:dyDescent="0.2">
      <c r="A43" s="154"/>
      <c r="B43" s="81"/>
      <c r="C43" s="81"/>
      <c r="D43" s="81"/>
      <c r="E43" s="82"/>
      <c r="F43" s="76"/>
      <c r="H43" s="72"/>
    </row>
    <row r="44" spans="1:8" ht="18.600000000000001" customHeight="1" x14ac:dyDescent="0.2">
      <c r="A44" s="310" t="s">
        <v>35</v>
      </c>
      <c r="B44" s="81"/>
      <c r="C44" s="81"/>
      <c r="D44" s="81"/>
      <c r="E44" s="82"/>
      <c r="F44" s="76"/>
      <c r="H44" s="72"/>
    </row>
    <row r="45" spans="1:8" ht="18" customHeight="1" x14ac:dyDescent="0.2">
      <c r="A45" s="81" t="s">
        <v>37</v>
      </c>
      <c r="B45" s="737" t="str">
        <f>'CMP Input'!E46</f>
        <v>6 x 2 (steel structural plate pipe)</v>
      </c>
      <c r="C45" s="737"/>
      <c r="D45" s="254"/>
      <c r="E45" s="254"/>
      <c r="F45" s="304"/>
      <c r="G45" s="48"/>
      <c r="H45" s="72"/>
    </row>
    <row r="46" spans="1:8" ht="18" customHeight="1" x14ac:dyDescent="0.2">
      <c r="A46" s="81" t="s">
        <v>172</v>
      </c>
      <c r="B46" s="737">
        <f>'CMP Input'!E47</f>
        <v>3</v>
      </c>
      <c r="C46" s="737"/>
      <c r="D46" s="254"/>
      <c r="E46" s="254"/>
      <c r="F46" s="304"/>
      <c r="G46" s="48"/>
      <c r="H46" s="72"/>
    </row>
    <row r="47" spans="1:8" ht="18" customHeight="1" x14ac:dyDescent="0.2">
      <c r="A47" s="81" t="s">
        <v>15</v>
      </c>
      <c r="B47" s="738" t="str">
        <f>IF(B45="N/A",'CMP Input'!E48, "")</f>
        <v/>
      </c>
      <c r="C47" s="738"/>
      <c r="E47" s="426"/>
      <c r="F47" s="426"/>
      <c r="G47" s="48"/>
      <c r="H47" s="72"/>
    </row>
    <row r="48" spans="1:8" ht="18" customHeight="1" x14ac:dyDescent="0.2">
      <c r="A48" s="81" t="s">
        <v>16</v>
      </c>
      <c r="B48" s="738" t="str">
        <f>IF(B45="N/A",'CMP Input'!E49, "")</f>
        <v/>
      </c>
      <c r="C48" s="738"/>
      <c r="D48" s="425"/>
      <c r="E48" s="426"/>
      <c r="F48" s="426"/>
      <c r="G48" s="48"/>
      <c r="H48" s="72"/>
    </row>
    <row r="49" spans="1:8" ht="18" customHeight="1" x14ac:dyDescent="0.2">
      <c r="A49" s="307" t="s">
        <v>173</v>
      </c>
      <c r="B49" s="804">
        <f>IF(B46="N/A", 'CMP Input'!E50, VLOOKUP(B46,'Reference tables'!B39:C48,2,FALSE))</f>
        <v>0.249</v>
      </c>
      <c r="C49" s="804"/>
      <c r="D49" s="731" t="str">
        <f>IF(B50="", "", IF(B50="-","Long Span Structural Structure Geometric Limits Exceed", IF(B49&lt;B50, "Long Span Structural Plate Structure Top Arc Minimum Thickness not Meet, Spreadsheet Cannot be Used!","")))</f>
        <v/>
      </c>
      <c r="E49" s="732"/>
      <c r="F49" s="732"/>
      <c r="G49" s="732"/>
      <c r="H49" s="72"/>
    </row>
    <row r="50" spans="1:8" ht="21" customHeight="1" x14ac:dyDescent="0.2">
      <c r="A50" s="421" t="s">
        <v>293</v>
      </c>
      <c r="B50" s="804" t="str">
        <f>IF('CMP Input'!D36="Long Span Structural Plate", 'Reference tables'!C17, "")</f>
        <v/>
      </c>
      <c r="C50" s="804"/>
      <c r="D50" s="731"/>
      <c r="E50" s="732"/>
      <c r="F50" s="732"/>
      <c r="G50" s="732"/>
      <c r="H50" s="72"/>
    </row>
    <row r="51" spans="1:8" ht="18" customHeight="1" x14ac:dyDescent="0.2">
      <c r="A51" s="421"/>
      <c r="B51" s="829" t="s">
        <v>294</v>
      </c>
      <c r="C51" s="829"/>
      <c r="D51" s="829"/>
      <c r="E51" s="829"/>
      <c r="F51" s="829"/>
      <c r="G51" s="424"/>
      <c r="H51" s="72"/>
    </row>
    <row r="52" spans="1:8" ht="8.4499999999999993" customHeight="1" x14ac:dyDescent="0.2">
      <c r="A52" s="309"/>
      <c r="B52" s="311"/>
      <c r="C52" s="48"/>
      <c r="D52" s="305"/>
      <c r="E52" s="305"/>
      <c r="F52" s="304"/>
      <c r="G52" s="48"/>
      <c r="H52" s="72"/>
    </row>
    <row r="53" spans="1:8" ht="18" customHeight="1" x14ac:dyDescent="0.2">
      <c r="A53" s="81" t="s">
        <v>54</v>
      </c>
      <c r="B53" s="351">
        <f>'CMP Input'!D55</f>
        <v>3.65</v>
      </c>
      <c r="C53" s="383"/>
      <c r="D53" s="352"/>
      <c r="E53" s="352"/>
      <c r="F53" s="443"/>
      <c r="G53" s="443"/>
      <c r="H53" s="72"/>
    </row>
    <row r="54" spans="1:8" ht="18" customHeight="1" x14ac:dyDescent="0.2">
      <c r="A54" s="307" t="s">
        <v>248</v>
      </c>
      <c r="B54" s="382">
        <f>'CMP Input'!D56</f>
        <v>0.69199999999999995</v>
      </c>
      <c r="C54" s="383"/>
      <c r="D54" s="352"/>
      <c r="E54" s="352"/>
      <c r="F54" s="443"/>
      <c r="G54" s="443"/>
      <c r="H54" s="72"/>
    </row>
    <row r="55" spans="1:8" ht="18" customHeight="1" x14ac:dyDescent="0.2">
      <c r="A55" s="302" t="s">
        <v>65</v>
      </c>
      <c r="B55" s="351">
        <f>'CMP Input'!D57</f>
        <v>146.172</v>
      </c>
      <c r="C55" s="383"/>
      <c r="D55" s="352"/>
      <c r="E55" s="352"/>
      <c r="F55" s="303"/>
      <c r="G55" s="303"/>
      <c r="H55" s="72"/>
    </row>
    <row r="56" spans="1:8" ht="6" customHeight="1" x14ac:dyDescent="0.2">
      <c r="C56" s="302"/>
      <c r="D56" s="302"/>
      <c r="E56" s="306"/>
      <c r="F56" s="303"/>
      <c r="G56" s="303"/>
      <c r="H56" s="72"/>
    </row>
    <row r="57" spans="1:8" ht="22.15" customHeight="1" x14ac:dyDescent="0.2">
      <c r="A57" s="742" t="s">
        <v>92</v>
      </c>
      <c r="B57" s="742"/>
      <c r="H57" s="72"/>
    </row>
    <row r="58" spans="1:8" ht="18" customHeight="1" x14ac:dyDescent="0.2">
      <c r="A58" s="183" t="s">
        <v>36</v>
      </c>
      <c r="B58" s="737" t="str">
        <f>'CMP Input'!D36</f>
        <v>Corrugated Metal Pipe</v>
      </c>
      <c r="C58" s="737"/>
      <c r="D58" s="737"/>
      <c r="E58" s="737"/>
      <c r="H58" s="184"/>
    </row>
    <row r="59" spans="1:8" ht="18" customHeight="1" x14ac:dyDescent="0.2">
      <c r="A59" s="183" t="s">
        <v>93</v>
      </c>
      <c r="B59" s="781" t="str">
        <f>'CMP Input'!D37</f>
        <v>Annular pipe w/ spot welded, riveted or bolted seam</v>
      </c>
      <c r="C59" s="781"/>
      <c r="D59" s="781"/>
      <c r="E59" s="781"/>
      <c r="H59" s="184"/>
    </row>
    <row r="60" spans="1:8" ht="18" customHeight="1" x14ac:dyDescent="0.2">
      <c r="A60" s="154"/>
      <c r="B60" s="741" t="s">
        <v>102</v>
      </c>
      <c r="C60" s="741"/>
      <c r="D60" s="741"/>
      <c r="E60" s="50">
        <f>'CMP Input'!D43</f>
        <v>30</v>
      </c>
      <c r="H60" s="184"/>
    </row>
    <row r="61" spans="1:8" ht="18" customHeight="1" x14ac:dyDescent="0.2">
      <c r="A61" s="154"/>
      <c r="B61" s="766" t="s">
        <v>325</v>
      </c>
      <c r="C61" s="766"/>
      <c r="D61" s="766"/>
      <c r="E61" s="50">
        <f>VLOOKUP('CMP Input'!D36, 'Reference tables'!C2:D6, 2, FALSE)</f>
        <v>1.9275</v>
      </c>
      <c r="F61" s="739" t="str">
        <f>IF(E61="-", "Long Span Structural Plate Structure Geometric Limits Exceed!", "")</f>
        <v/>
      </c>
      <c r="G61" s="802"/>
      <c r="H61" s="802"/>
    </row>
    <row r="62" spans="1:8" ht="27" customHeight="1" x14ac:dyDescent="0.2">
      <c r="A62" s="154"/>
      <c r="B62" s="733" t="s">
        <v>327</v>
      </c>
      <c r="C62" s="734"/>
      <c r="D62" s="735"/>
      <c r="E62" s="155">
        <f>'CMP Input'!D40</f>
        <v>0.83333333333333337</v>
      </c>
      <c r="F62" s="739" t="str">
        <f>IF(E61="-", "", IF(E62&gt;=E61, " ", "! H&lt;h, cover not deep enough! "))</f>
        <v xml:space="preserve">! H&lt;h, cover not deep enough! </v>
      </c>
      <c r="G62" s="802"/>
      <c r="H62" s="802"/>
    </row>
    <row r="63" spans="1:8" ht="27" customHeight="1" x14ac:dyDescent="0.2">
      <c r="B63" s="778" t="s">
        <v>285</v>
      </c>
      <c r="C63" s="779"/>
      <c r="D63" s="780"/>
      <c r="E63" s="155">
        <f>1-'CMP Input'!D52</f>
        <v>0.95</v>
      </c>
    </row>
    <row r="64" spans="1:8" ht="18" customHeight="1" x14ac:dyDescent="0.2">
      <c r="B64" s="760" t="s">
        <v>302</v>
      </c>
      <c r="C64" s="760"/>
      <c r="D64" s="760"/>
      <c r="E64" s="341">
        <v>1</v>
      </c>
    </row>
    <row r="65" spans="1:8" ht="18" customHeight="1" x14ac:dyDescent="0.2">
      <c r="B65" s="778" t="s">
        <v>303</v>
      </c>
      <c r="C65" s="779"/>
      <c r="D65" s="780"/>
      <c r="E65" s="341">
        <f>IF('CMP Input'!D37="Annular pipe w/ spot welded, riveted or bolted seam", 0.67, IF('CMP Input'!D37="Helical pipe w/ lock seam or fully welded seam", 1, ""))</f>
        <v>0.67</v>
      </c>
    </row>
    <row r="66" spans="1:8" ht="18" customHeight="1" x14ac:dyDescent="0.2">
      <c r="B66" s="777" t="s">
        <v>26</v>
      </c>
      <c r="C66" s="741"/>
      <c r="D66" s="741"/>
      <c r="E66" s="351">
        <f>'CMP Input'!D63</f>
        <v>0.12</v>
      </c>
    </row>
    <row r="67" spans="1:8" ht="18" customHeight="1" x14ac:dyDescent="0.2">
      <c r="B67" s="777" t="s">
        <v>64</v>
      </c>
      <c r="C67" s="741"/>
      <c r="D67" s="741"/>
      <c r="E67" s="74">
        <v>0.22</v>
      </c>
    </row>
    <row r="68" spans="1:8" ht="30" customHeight="1" x14ac:dyDescent="0.2">
      <c r="B68" s="830" t="s">
        <v>214</v>
      </c>
      <c r="C68" s="831"/>
      <c r="D68" s="832"/>
      <c r="E68" s="350">
        <f>'CMP Input'!D64</f>
        <v>1.1499999999999999</v>
      </c>
      <c r="F68" s="342"/>
    </row>
    <row r="69" spans="1:8" ht="5.45" customHeight="1" x14ac:dyDescent="0.2">
      <c r="B69" s="343"/>
      <c r="C69" s="343"/>
      <c r="D69" s="343"/>
      <c r="E69" s="343"/>
    </row>
    <row r="70" spans="1:8" ht="19.899999999999999" customHeight="1" x14ac:dyDescent="0.2">
      <c r="A70" s="187" t="s">
        <v>258</v>
      </c>
      <c r="C70" s="430" t="s">
        <v>226</v>
      </c>
      <c r="D70" s="81"/>
      <c r="E70" s="82"/>
      <c r="F70" s="76"/>
      <c r="H70" s="72"/>
    </row>
    <row r="71" spans="1:8" ht="16.149999999999999" customHeight="1" x14ac:dyDescent="0.2"/>
    <row r="72" spans="1:8" ht="16.149999999999999" customHeight="1" x14ac:dyDescent="0.2">
      <c r="A72" s="159" t="s">
        <v>103</v>
      </c>
    </row>
    <row r="73" spans="1:8" ht="16.149999999999999" customHeight="1" x14ac:dyDescent="0.2"/>
    <row r="74" spans="1:8" ht="16.149999999999999" customHeight="1" x14ac:dyDescent="0.2">
      <c r="A74" s="159" t="s">
        <v>103</v>
      </c>
    </row>
    <row r="75" spans="1:8" ht="16.149999999999999" customHeight="1" x14ac:dyDescent="0.2"/>
    <row r="76" spans="1:8" ht="16.149999999999999" customHeight="1" x14ac:dyDescent="0.2">
      <c r="A76" s="159" t="s">
        <v>104</v>
      </c>
      <c r="B76" s="159" t="s">
        <v>105</v>
      </c>
      <c r="C76" s="50">
        <f>D31*12</f>
        <v>185.04</v>
      </c>
      <c r="D76" s="263" t="str">
        <f>IF(C76&gt;F76, "&gt;", "&lt;")</f>
        <v>&lt;</v>
      </c>
      <c r="F76" s="50">
        <f>(B54/E67)*(24*E42*1000/(E41*1000))^0.5</f>
        <v>391.18462452954299</v>
      </c>
    </row>
    <row r="77" spans="1:8" ht="8.4499999999999993" customHeight="1" x14ac:dyDescent="0.2">
      <c r="A77" s="282"/>
      <c r="B77" s="282"/>
      <c r="C77" s="284"/>
      <c r="D77" s="263"/>
      <c r="F77" s="73"/>
    </row>
    <row r="78" spans="1:8" ht="19.899999999999999" customHeight="1" x14ac:dyDescent="0.2">
      <c r="A78" s="416" t="s">
        <v>280</v>
      </c>
      <c r="B78" s="186" t="s">
        <v>259</v>
      </c>
      <c r="C78" s="74">
        <f>IF(C76&lt;F76, (E41*1000-((E41*1000)^2/(48*E42*1000))*(E67*C76/B54)^2)/1000, (12*E42*1000/(E67*C76/B54)^2)/1000)</f>
        <v>39.96557118427404</v>
      </c>
      <c r="D78" s="34" t="s">
        <v>32</v>
      </c>
    </row>
    <row r="79" spans="1:8" ht="6" customHeight="1" x14ac:dyDescent="0.2"/>
    <row r="80" spans="1:8" ht="19.899999999999999" customHeight="1" x14ac:dyDescent="0.2">
      <c r="A80" s="187" t="s">
        <v>260</v>
      </c>
    </row>
    <row r="81" spans="1:6" ht="15" customHeight="1" x14ac:dyDescent="0.2">
      <c r="A81" s="187"/>
      <c r="B81" s="298" t="s">
        <v>174</v>
      </c>
      <c r="C81" s="297">
        <f>'CMP Input'!D59</f>
        <v>132</v>
      </c>
      <c r="D81" s="383"/>
      <c r="E81" s="384"/>
      <c r="F81" s="384"/>
    </row>
    <row r="82" spans="1:6" ht="4.9000000000000004" customHeight="1" x14ac:dyDescent="0.2">
      <c r="A82" s="187"/>
      <c r="B82" s="81"/>
      <c r="C82" s="510"/>
      <c r="D82" s="189"/>
      <c r="E82" s="189"/>
      <c r="F82" s="188"/>
    </row>
    <row r="83" spans="1:6" ht="16.149999999999999" customHeight="1" x14ac:dyDescent="0.2">
      <c r="B83" s="741" t="s">
        <v>106</v>
      </c>
      <c r="C83" s="765" t="s">
        <v>175</v>
      </c>
      <c r="D83" s="803"/>
      <c r="E83" s="803"/>
      <c r="F83" s="53">
        <f>E40*B53*E64*E63</f>
        <v>114.42749999999999</v>
      </c>
    </row>
    <row r="84" spans="1:6" ht="16.149999999999999" customHeight="1" x14ac:dyDescent="0.2">
      <c r="B84" s="741"/>
      <c r="C84" s="765" t="s">
        <v>187</v>
      </c>
      <c r="D84" s="765"/>
      <c r="E84" s="765"/>
      <c r="F84" s="53">
        <f>IF(C29="Unsymmetrical  or deflect over 5% (NCSPA design data sheet No. 19, II. A. 2.)", C78*B53*E64*E63*F23, C78*B53*E64*E63)</f>
        <v>138.58061808147022</v>
      </c>
    </row>
    <row r="85" spans="1:6" ht="16.149999999999999" customHeight="1" x14ac:dyDescent="0.2">
      <c r="B85" s="741"/>
      <c r="C85" s="765" t="s">
        <v>130</v>
      </c>
      <c r="D85" s="765"/>
      <c r="E85" s="765"/>
      <c r="F85" s="53">
        <f>E65*C81</f>
        <v>88.440000000000012</v>
      </c>
    </row>
    <row r="86" spans="1:6" ht="7.15" customHeight="1" x14ac:dyDescent="0.2"/>
    <row r="87" spans="1:6" ht="16.149999999999999" customHeight="1" x14ac:dyDescent="0.2">
      <c r="A87" s="416" t="s">
        <v>280</v>
      </c>
      <c r="B87" s="247" t="s">
        <v>261</v>
      </c>
      <c r="C87" s="297">
        <f>MIN(F83,F84,F85)</f>
        <v>88.440000000000012</v>
      </c>
      <c r="D87" s="34" t="s">
        <v>131</v>
      </c>
    </row>
    <row r="88" spans="1:6" ht="3.6" customHeight="1" x14ac:dyDescent="0.2"/>
    <row r="89" spans="1:6" ht="19.899999999999999" customHeight="1" x14ac:dyDescent="0.2">
      <c r="A89" s="187" t="s">
        <v>262</v>
      </c>
    </row>
    <row r="90" spans="1:6" ht="16.149999999999999" customHeight="1" x14ac:dyDescent="0.2">
      <c r="B90" s="793" t="s">
        <v>132</v>
      </c>
      <c r="C90" s="182" t="s">
        <v>133</v>
      </c>
      <c r="D90" s="50">
        <f>E66*'CMP Input'!D39*D31/2</f>
        <v>0.77100000000000002</v>
      </c>
      <c r="E90" s="34" t="s">
        <v>131</v>
      </c>
    </row>
    <row r="91" spans="1:6" ht="16.149999999999999" customHeight="1" x14ac:dyDescent="0.2">
      <c r="B91" s="794"/>
      <c r="C91" s="182" t="s">
        <v>134</v>
      </c>
      <c r="D91" s="50">
        <f>E66*'CMP Input'!D39*D32</f>
        <v>0.72500000000000009</v>
      </c>
      <c r="E91" s="34" t="s">
        <v>131</v>
      </c>
    </row>
    <row r="92" spans="1:6" ht="3.6" customHeight="1" x14ac:dyDescent="0.2"/>
    <row r="93" spans="1:6" ht="16.149999999999999" customHeight="1" x14ac:dyDescent="0.2">
      <c r="A93" s="416" t="s">
        <v>280</v>
      </c>
      <c r="B93" s="247" t="s">
        <v>263</v>
      </c>
      <c r="C93" s="74">
        <f>MAX(D90,D91)</f>
        <v>0.77100000000000002</v>
      </c>
      <c r="D93" s="34" t="s">
        <v>131</v>
      </c>
    </row>
    <row r="94" spans="1:6" ht="4.9000000000000004" customHeight="1" x14ac:dyDescent="0.2">
      <c r="A94" s="416"/>
      <c r="B94" s="247"/>
      <c r="C94" s="260"/>
    </row>
    <row r="95" spans="1:6" ht="19.899999999999999" customHeight="1" x14ac:dyDescent="0.2">
      <c r="A95" s="187" t="s">
        <v>315</v>
      </c>
    </row>
    <row r="96" spans="1:6" ht="16.149999999999999" customHeight="1" x14ac:dyDescent="0.2">
      <c r="A96" s="187"/>
      <c r="B96" s="793" t="s">
        <v>228</v>
      </c>
      <c r="C96" s="765" t="s">
        <v>197</v>
      </c>
      <c r="D96" s="765"/>
      <c r="E96" s="34" t="s">
        <v>131</v>
      </c>
    </row>
    <row r="97" spans="1:8" ht="16.149999999999999" customHeight="1" x14ac:dyDescent="0.2">
      <c r="A97" s="187"/>
      <c r="B97" s="794"/>
      <c r="C97" s="765" t="s">
        <v>198</v>
      </c>
      <c r="D97" s="765"/>
      <c r="E97" s="34" t="s">
        <v>131</v>
      </c>
    </row>
    <row r="98" spans="1:8" ht="16.149999999999999" customHeight="1" x14ac:dyDescent="0.2">
      <c r="A98" s="187"/>
      <c r="C98" s="727" t="s">
        <v>316</v>
      </c>
      <c r="D98" s="727"/>
      <c r="E98" s="727"/>
      <c r="F98" s="727"/>
      <c r="G98" s="727"/>
      <c r="H98" s="727"/>
    </row>
    <row r="99" spans="1:8" ht="4.1500000000000004" customHeight="1" x14ac:dyDescent="0.2">
      <c r="A99" s="187"/>
      <c r="C99" s="523"/>
      <c r="D99" s="523"/>
      <c r="E99" s="523"/>
      <c r="F99" s="523"/>
      <c r="G99" s="523"/>
      <c r="H99" s="523"/>
    </row>
    <row r="100" spans="1:8" ht="16.149999999999999" customHeight="1" x14ac:dyDescent="0.2">
      <c r="A100" s="187"/>
      <c r="C100" s="423" t="s">
        <v>380</v>
      </c>
      <c r="D100" s="523"/>
      <c r="E100" s="523"/>
      <c r="F100" s="523"/>
      <c r="G100" s="523"/>
      <c r="H100" s="523"/>
    </row>
    <row r="101" spans="1:8" ht="16.149999999999999" customHeight="1" x14ac:dyDescent="0.2">
      <c r="A101" s="726" t="s">
        <v>381</v>
      </c>
      <c r="B101" s="726"/>
      <c r="C101" s="726"/>
      <c r="D101" s="520">
        <v>1.2</v>
      </c>
      <c r="E101" s="528" t="s">
        <v>382</v>
      </c>
      <c r="F101" s="523"/>
      <c r="G101" s="523"/>
      <c r="H101" s="523"/>
    </row>
    <row r="102" spans="1:8" ht="16.149999999999999" customHeight="1" x14ac:dyDescent="0.2">
      <c r="A102" s="726" t="s">
        <v>383</v>
      </c>
      <c r="B102" s="726"/>
      <c r="C102" s="726"/>
      <c r="D102" s="521">
        <f>IF('CMP Input'!D73&lt;100, 0.9, IF(AND('CMP Input'!D73&gt;=100, 'CMP Input'!D73&lt;=1000), 0.95, 1))</f>
        <v>0.9</v>
      </c>
      <c r="E102" s="528" t="s">
        <v>384</v>
      </c>
      <c r="F102" s="523"/>
      <c r="G102" s="523"/>
      <c r="H102" s="523"/>
    </row>
    <row r="103" spans="1:8" ht="16.149999999999999" customHeight="1" x14ac:dyDescent="0.2">
      <c r="A103" s="726" t="s">
        <v>385</v>
      </c>
      <c r="B103" s="726"/>
      <c r="C103" s="726"/>
      <c r="D103" s="521">
        <f>D101*D102</f>
        <v>1.08</v>
      </c>
      <c r="E103" s="528"/>
      <c r="F103" s="523"/>
      <c r="G103" s="523"/>
      <c r="H103" s="523"/>
    </row>
    <row r="104" spans="1:8" ht="3" customHeight="1" x14ac:dyDescent="0.2">
      <c r="A104" s="524"/>
      <c r="B104" s="524"/>
      <c r="C104" s="524"/>
      <c r="D104" s="73"/>
      <c r="E104" s="528"/>
      <c r="F104" s="523"/>
      <c r="G104" s="523"/>
      <c r="H104" s="523"/>
    </row>
    <row r="105" spans="1:8" ht="16.149999999999999" customHeight="1" x14ac:dyDescent="0.2">
      <c r="C105" s="423" t="s">
        <v>189</v>
      </c>
      <c r="D105" s="328"/>
      <c r="E105" s="800"/>
      <c r="F105" s="800"/>
      <c r="G105" s="48"/>
    </row>
    <row r="106" spans="1:8" ht="16.149999999999999" customHeight="1" x14ac:dyDescent="0.2">
      <c r="A106" s="726" t="s">
        <v>193</v>
      </c>
      <c r="B106" s="726"/>
      <c r="C106" s="726"/>
      <c r="D106" s="801" t="s">
        <v>190</v>
      </c>
      <c r="E106" s="801"/>
      <c r="F106" s="801"/>
      <c r="G106" s="48"/>
    </row>
    <row r="107" spans="1:8" ht="16.149999999999999" customHeight="1" x14ac:dyDescent="0.2">
      <c r="A107" s="329"/>
      <c r="B107" s="81" t="s">
        <v>192</v>
      </c>
      <c r="C107" s="795" t="s">
        <v>191</v>
      </c>
      <c r="D107" s="795"/>
      <c r="E107" s="795"/>
      <c r="F107" s="795"/>
      <c r="G107" s="795"/>
      <c r="H107" s="795"/>
    </row>
    <row r="108" spans="1:8" ht="2.4500000000000002" customHeight="1" x14ac:dyDescent="0.2">
      <c r="A108" s="187"/>
    </row>
    <row r="109" spans="1:8" ht="16.149999999999999" customHeight="1" x14ac:dyDescent="0.2">
      <c r="A109" s="187"/>
      <c r="B109" s="161"/>
      <c r="C109" s="416" t="s">
        <v>281</v>
      </c>
      <c r="D109" s="74">
        <f>'CMP Input'!D39:E39</f>
        <v>0.83333333333333337</v>
      </c>
      <c r="E109" s="34" t="s">
        <v>27</v>
      </c>
    </row>
    <row r="110" spans="1:8" ht="16.149999999999999" customHeight="1" x14ac:dyDescent="0.2">
      <c r="A110" s="187"/>
      <c r="C110" s="248" t="s">
        <v>188</v>
      </c>
      <c r="D110" s="51">
        <f>IF(33*(1-0.125*D109)/100&gt;0,33*(1-0.125*D109)/100,0)</f>
        <v>0.29562500000000003</v>
      </c>
    </row>
    <row r="111" spans="1:8" ht="16.149999999999999" customHeight="1" x14ac:dyDescent="0.2">
      <c r="A111" s="187"/>
      <c r="C111" s="248" t="s">
        <v>194</v>
      </c>
      <c r="D111" s="74">
        <f>1+D110</f>
        <v>1.295625</v>
      </c>
    </row>
    <row r="112" spans="1:8" ht="3" customHeight="1" x14ac:dyDescent="0.2">
      <c r="A112" s="187"/>
      <c r="C112" s="248"/>
      <c r="D112" s="260"/>
    </row>
    <row r="113" spans="1:9" ht="18" customHeight="1" x14ac:dyDescent="0.2">
      <c r="A113" s="186"/>
      <c r="B113" s="48" t="s">
        <v>215</v>
      </c>
      <c r="C113" s="340"/>
      <c r="D113" s="260"/>
    </row>
    <row r="114" spans="1:9" ht="7.15" customHeight="1" x14ac:dyDescent="0.2">
      <c r="A114" s="187"/>
      <c r="C114" s="248"/>
      <c r="D114" s="260"/>
      <c r="I114" s="512"/>
    </row>
    <row r="115" spans="1:9" ht="14.45" customHeight="1" x14ac:dyDescent="0.2">
      <c r="A115" s="799"/>
      <c r="B115" s="799"/>
      <c r="C115" s="799"/>
      <c r="D115" s="799"/>
      <c r="E115" s="799"/>
      <c r="F115" s="799"/>
      <c r="G115" s="799"/>
      <c r="I115" s="512"/>
    </row>
    <row r="116" spans="1:9" ht="14.45" customHeight="1" x14ac:dyDescent="0.2">
      <c r="A116" s="799"/>
      <c r="B116" s="799"/>
      <c r="C116" s="799"/>
      <c r="D116" s="799"/>
      <c r="E116" s="799"/>
      <c r="F116" s="799"/>
      <c r="G116" s="799"/>
      <c r="I116" s="512"/>
    </row>
    <row r="117" spans="1:9" ht="14.45" customHeight="1" x14ac:dyDescent="0.2">
      <c r="A117" s="799"/>
      <c r="B117" s="799"/>
      <c r="C117" s="799"/>
      <c r="D117" s="799"/>
      <c r="E117" s="799"/>
      <c r="F117" s="799"/>
      <c r="G117" s="799"/>
      <c r="I117" s="512"/>
    </row>
    <row r="118" spans="1:9" ht="14.45" customHeight="1" x14ac:dyDescent="0.2">
      <c r="A118" s="799"/>
      <c r="B118" s="799"/>
      <c r="C118" s="799"/>
      <c r="D118" s="799"/>
      <c r="E118" s="799"/>
      <c r="F118" s="799"/>
      <c r="G118" s="799"/>
      <c r="I118" s="512"/>
    </row>
    <row r="119" spans="1:9" ht="14.45" customHeight="1" x14ac:dyDescent="0.2">
      <c r="A119" s="799"/>
      <c r="B119" s="799"/>
      <c r="C119" s="799"/>
      <c r="D119" s="799"/>
      <c r="E119" s="799"/>
      <c r="F119" s="799"/>
      <c r="G119" s="799"/>
      <c r="I119" s="512"/>
    </row>
    <row r="120" spans="1:9" ht="14.45" customHeight="1" x14ac:dyDescent="0.2">
      <c r="A120" s="799"/>
      <c r="B120" s="799"/>
      <c r="C120" s="799"/>
      <c r="D120" s="799"/>
      <c r="E120" s="799"/>
      <c r="F120" s="799"/>
      <c r="G120" s="799"/>
      <c r="I120" s="512"/>
    </row>
    <row r="121" spans="1:9" ht="14.45" customHeight="1" x14ac:dyDescent="0.2">
      <c r="A121" s="799"/>
      <c r="B121" s="799"/>
      <c r="C121" s="799"/>
      <c r="D121" s="799"/>
      <c r="E121" s="799"/>
      <c r="F121" s="799"/>
      <c r="G121" s="799"/>
      <c r="I121" s="512"/>
    </row>
    <row r="122" spans="1:9" ht="14.45" customHeight="1" x14ac:dyDescent="0.2">
      <c r="A122" s="799"/>
      <c r="B122" s="799"/>
      <c r="C122" s="799"/>
      <c r="D122" s="799"/>
      <c r="E122" s="799"/>
      <c r="F122" s="799"/>
      <c r="G122" s="799"/>
      <c r="I122" s="512"/>
    </row>
    <row r="123" spans="1:9" ht="14.45" customHeight="1" x14ac:dyDescent="0.2">
      <c r="A123" s="799"/>
      <c r="B123" s="799"/>
      <c r="C123" s="799"/>
      <c r="D123" s="799"/>
      <c r="E123" s="799"/>
      <c r="F123" s="799"/>
      <c r="G123" s="799"/>
      <c r="I123" s="512"/>
    </row>
    <row r="124" spans="1:9" ht="22.9" customHeight="1" x14ac:dyDescent="0.2">
      <c r="A124" s="799"/>
      <c r="B124" s="799"/>
      <c r="C124" s="799"/>
      <c r="D124" s="799"/>
      <c r="E124" s="799"/>
      <c r="F124" s="799"/>
      <c r="G124" s="799"/>
      <c r="I124" s="512"/>
    </row>
    <row r="125" spans="1:9" ht="20.45" customHeight="1" x14ac:dyDescent="0.2">
      <c r="A125" s="727" t="s">
        <v>206</v>
      </c>
      <c r="B125" s="727"/>
      <c r="C125" s="727"/>
      <c r="D125" s="727"/>
      <c r="E125" s="727"/>
      <c r="F125" s="727"/>
      <c r="G125" s="727"/>
    </row>
    <row r="126" spans="1:9" ht="6" customHeight="1" x14ac:dyDescent="0.2">
      <c r="A126" s="170"/>
      <c r="B126" s="170"/>
      <c r="C126" s="170"/>
      <c r="D126" s="170"/>
      <c r="E126" s="170"/>
      <c r="F126" s="170"/>
      <c r="G126" s="170"/>
    </row>
    <row r="127" spans="1:9" ht="18" customHeight="1" x14ac:dyDescent="0.2">
      <c r="A127" s="250" t="s">
        <v>199</v>
      </c>
      <c r="C127" s="248"/>
      <c r="D127" s="73"/>
    </row>
    <row r="128" spans="1:9" ht="15" customHeight="1" x14ac:dyDescent="0.2">
      <c r="A128" s="315" t="s">
        <v>219</v>
      </c>
      <c r="B128" s="285">
        <f>20/12</f>
        <v>1.6666666666666667</v>
      </c>
      <c r="C128" s="251" t="s">
        <v>27</v>
      </c>
    </row>
    <row r="129" spans="1:10" ht="15" customHeight="1" x14ac:dyDescent="0.2">
      <c r="A129" s="315" t="s">
        <v>220</v>
      </c>
      <c r="B129" s="285">
        <f>10/12</f>
        <v>0.83333333333333337</v>
      </c>
      <c r="C129" s="251" t="s">
        <v>27</v>
      </c>
    </row>
    <row r="130" spans="1:10" ht="18" customHeight="1" x14ac:dyDescent="0.2">
      <c r="A130" s="250" t="s">
        <v>200</v>
      </c>
      <c r="C130" s="248"/>
      <c r="D130" s="73"/>
    </row>
    <row r="131" spans="1:10" ht="18" customHeight="1" x14ac:dyDescent="0.2">
      <c r="A131" s="315" t="s">
        <v>216</v>
      </c>
      <c r="B131" s="332" t="s">
        <v>218</v>
      </c>
      <c r="C131" s="330"/>
      <c r="D131" s="419"/>
      <c r="E131" s="419"/>
    </row>
    <row r="132" spans="1:10" ht="18" customHeight="1" x14ac:dyDescent="0.2">
      <c r="A132" s="315" t="s">
        <v>217</v>
      </c>
      <c r="B132" s="332" t="s">
        <v>224</v>
      </c>
    </row>
    <row r="133" spans="1:10" ht="15" customHeight="1" x14ac:dyDescent="0.2">
      <c r="A133" s="314" t="s">
        <v>192</v>
      </c>
      <c r="B133" s="332" t="s">
        <v>210</v>
      </c>
      <c r="C133" s="332"/>
      <c r="D133" s="331"/>
      <c r="E133" s="331"/>
    </row>
    <row r="134" spans="1:10" ht="15.6" customHeight="1" x14ac:dyDescent="0.2">
      <c r="A134" s="315"/>
      <c r="B134" s="775" t="s">
        <v>225</v>
      </c>
      <c r="C134" s="776"/>
      <c r="D134" s="387">
        <f>'CMP Input'!D72</f>
        <v>1.4</v>
      </c>
      <c r="E134" s="385"/>
      <c r="F134" s="386"/>
    </row>
    <row r="135" spans="1:10" ht="18" customHeight="1" x14ac:dyDescent="0.2">
      <c r="A135" s="315"/>
      <c r="B135" s="792" t="s">
        <v>203</v>
      </c>
      <c r="C135" s="792"/>
      <c r="D135" s="331"/>
      <c r="E135" s="331"/>
    </row>
    <row r="136" spans="1:10" ht="45" customHeight="1" x14ac:dyDescent="0.2">
      <c r="A136" s="315" t="s">
        <v>204</v>
      </c>
      <c r="B136" s="334"/>
      <c r="C136" s="476" t="s">
        <v>393</v>
      </c>
      <c r="D136" s="477" t="s">
        <v>395</v>
      </c>
      <c r="E136" s="477" t="s">
        <v>396</v>
      </c>
      <c r="F136" s="477" t="s">
        <v>394</v>
      </c>
      <c r="G136" s="478" t="s">
        <v>391</v>
      </c>
      <c r="I136" s="475"/>
      <c r="J136" s="475"/>
    </row>
    <row r="137" spans="1:10" ht="30" customHeight="1" x14ac:dyDescent="0.25">
      <c r="A137" s="315"/>
      <c r="B137" s="530" t="s">
        <v>386</v>
      </c>
      <c r="C137" s="479">
        <f>17/2*$D$103</f>
        <v>9.18</v>
      </c>
      <c r="D137" s="479">
        <f>15.5/2*$D$103</f>
        <v>8.370000000000001</v>
      </c>
      <c r="E137" s="479">
        <f>16/2*$D$103</f>
        <v>8.64</v>
      </c>
      <c r="F137" s="479">
        <f>20/2*$D$103</f>
        <v>10.8</v>
      </c>
      <c r="G137" s="479">
        <f>17/2*$D$103</f>
        <v>9.18</v>
      </c>
      <c r="I137" s="475"/>
      <c r="J137" s="475"/>
    </row>
    <row r="138" spans="1:10" ht="18" customHeight="1" x14ac:dyDescent="0.2">
      <c r="A138" s="315"/>
      <c r="B138" s="337" t="s">
        <v>207</v>
      </c>
      <c r="C138" s="335">
        <f>(C137/0.8)/12</f>
        <v>0.95624999999999993</v>
      </c>
      <c r="D138" s="335">
        <f>(D137/0.8)/12</f>
        <v>0.87187500000000007</v>
      </c>
      <c r="E138" s="335">
        <f t="shared" ref="E138:F138" si="0">(E137/0.8)/12</f>
        <v>0.9</v>
      </c>
      <c r="F138" s="335">
        <f t="shared" si="0"/>
        <v>1.125</v>
      </c>
      <c r="G138" s="335">
        <f t="shared" ref="G138" si="1">(G137/0.8)/12</f>
        <v>0.95624999999999993</v>
      </c>
    </row>
    <row r="139" spans="1:10" ht="18" customHeight="1" x14ac:dyDescent="0.2">
      <c r="A139" s="315"/>
      <c r="B139" s="337" t="s">
        <v>208</v>
      </c>
      <c r="C139" s="335">
        <f>6.4*$D$111*$D$134/12</f>
        <v>0.96739999999999993</v>
      </c>
      <c r="D139" s="335">
        <f>6.4*$D$111/12*$D$134</f>
        <v>0.96739999999999982</v>
      </c>
      <c r="E139" s="335">
        <f>6.4*$D$111/12*$D$134</f>
        <v>0.96739999999999982</v>
      </c>
      <c r="F139" s="335">
        <f>6.4*$D$111/12*$D$134</f>
        <v>0.96739999999999982</v>
      </c>
      <c r="G139" s="335">
        <f>6.4*$D$111/12*$D$134</f>
        <v>0.96739999999999982</v>
      </c>
    </row>
    <row r="140" spans="1:10" ht="5.45" customHeight="1" x14ac:dyDescent="0.2">
      <c r="A140" s="315"/>
      <c r="B140" s="471"/>
      <c r="C140" s="472"/>
      <c r="D140" s="472"/>
      <c r="E140" s="472"/>
      <c r="F140" s="472"/>
    </row>
    <row r="141" spans="1:10" ht="18" customHeight="1" x14ac:dyDescent="0.2">
      <c r="A141" s="255" t="s">
        <v>201</v>
      </c>
      <c r="D141" s="333"/>
      <c r="E141" s="333"/>
      <c r="F141" s="333"/>
      <c r="G141" s="333"/>
    </row>
    <row r="142" spans="1:10" ht="6.6" customHeight="1" x14ac:dyDescent="0.2">
      <c r="A142" s="255"/>
      <c r="D142" s="333"/>
      <c r="E142" s="333"/>
      <c r="F142" s="333"/>
      <c r="G142" s="333"/>
    </row>
    <row r="143" spans="1:10" ht="18" customHeight="1" x14ac:dyDescent="0.2">
      <c r="A143" s="333" t="s">
        <v>202</v>
      </c>
      <c r="B143" s="333"/>
      <c r="C143" s="333"/>
      <c r="D143" s="333"/>
      <c r="E143" s="333"/>
      <c r="F143" s="333"/>
      <c r="G143" s="333"/>
    </row>
    <row r="144" spans="1:10" ht="18" customHeight="1" x14ac:dyDescent="0.2">
      <c r="B144" s="315" t="s">
        <v>209</v>
      </c>
      <c r="C144" s="285">
        <f>20/12+E68*D109</f>
        <v>2.625</v>
      </c>
      <c r="D144" s="34" t="s">
        <v>27</v>
      </c>
      <c r="E144" s="333"/>
      <c r="F144" s="333"/>
      <c r="G144" s="333"/>
    </row>
    <row r="145" spans="1:8" ht="18" customHeight="1" x14ac:dyDescent="0.2">
      <c r="B145" s="315" t="s">
        <v>211</v>
      </c>
      <c r="C145" s="285">
        <f>10/12+E68*D109</f>
        <v>1.7916666666666665</v>
      </c>
      <c r="D145" s="34" t="s">
        <v>27</v>
      </c>
      <c r="E145" s="333"/>
      <c r="F145" s="333"/>
      <c r="G145" s="333"/>
    </row>
    <row r="146" spans="1:8" ht="18" customHeight="1" x14ac:dyDescent="0.2">
      <c r="A146" s="333" t="s">
        <v>375</v>
      </c>
      <c r="B146" s="333"/>
      <c r="C146" s="333"/>
      <c r="D146" s="333"/>
      <c r="E146" s="333"/>
      <c r="F146" s="333"/>
      <c r="G146" s="333"/>
    </row>
    <row r="147" spans="1:8" ht="42.6" customHeight="1" x14ac:dyDescent="0.2">
      <c r="A147" s="333"/>
      <c r="B147" s="334"/>
      <c r="C147" s="476" t="s">
        <v>393</v>
      </c>
      <c r="D147" s="477" t="s">
        <v>395</v>
      </c>
      <c r="E147" s="477" t="s">
        <v>396</v>
      </c>
      <c r="F147" s="477" t="s">
        <v>394</v>
      </c>
      <c r="G147" s="478" t="s">
        <v>391</v>
      </c>
    </row>
    <row r="148" spans="1:8" ht="18" customHeight="1" x14ac:dyDescent="0.2">
      <c r="B148" s="336" t="s">
        <v>212</v>
      </c>
      <c r="C148" s="338">
        <f t="shared" ref="C148:G149" si="2">C138+$E$68*$D$109</f>
        <v>1.9145833333333333</v>
      </c>
      <c r="D148" s="338">
        <f t="shared" si="2"/>
        <v>1.8302083333333332</v>
      </c>
      <c r="E148" s="338">
        <f t="shared" si="2"/>
        <v>1.8583333333333334</v>
      </c>
      <c r="F148" s="338">
        <f t="shared" si="2"/>
        <v>2.083333333333333</v>
      </c>
      <c r="G148" s="338">
        <f t="shared" si="2"/>
        <v>1.9145833333333333</v>
      </c>
    </row>
    <row r="149" spans="1:8" ht="18" customHeight="1" x14ac:dyDescent="0.2">
      <c r="B149" s="336" t="s">
        <v>213</v>
      </c>
      <c r="C149" s="338">
        <f t="shared" si="2"/>
        <v>1.9257333333333331</v>
      </c>
      <c r="D149" s="338">
        <f t="shared" si="2"/>
        <v>1.9257333333333331</v>
      </c>
      <c r="E149" s="338">
        <f t="shared" si="2"/>
        <v>1.9257333333333331</v>
      </c>
      <c r="F149" s="338">
        <f t="shared" si="2"/>
        <v>1.9257333333333331</v>
      </c>
      <c r="G149" s="338">
        <f t="shared" si="2"/>
        <v>1.9257333333333331</v>
      </c>
    </row>
    <row r="150" spans="1:8" ht="6" customHeight="1" x14ac:dyDescent="0.2">
      <c r="B150" s="473"/>
      <c r="C150" s="474"/>
      <c r="D150" s="474"/>
      <c r="E150" s="474"/>
      <c r="F150" s="474"/>
      <c r="G150" s="463"/>
    </row>
    <row r="151" spans="1:8" ht="16.899999999999999" customHeight="1" x14ac:dyDescent="0.2">
      <c r="A151" s="249"/>
      <c r="B151" s="73"/>
      <c r="C151" s="253" t="s">
        <v>176</v>
      </c>
      <c r="D151" s="344">
        <f>D109</f>
        <v>0.83333333333333337</v>
      </c>
      <c r="E151" s="406"/>
    </row>
    <row r="152" spans="1:8" ht="15" customHeight="1" x14ac:dyDescent="0.2">
      <c r="A152" s="252"/>
      <c r="B152" s="73"/>
      <c r="C152" s="253" t="s">
        <v>138</v>
      </c>
      <c r="D152" s="264">
        <f>'CMP Input'!D43</f>
        <v>30</v>
      </c>
      <c r="E152" s="254" t="s">
        <v>137</v>
      </c>
    </row>
    <row r="153" spans="1:8" ht="17.45" customHeight="1" thickBot="1" x14ac:dyDescent="0.25">
      <c r="A153" s="252"/>
      <c r="B153" s="73"/>
      <c r="C153" s="796" t="s">
        <v>170</v>
      </c>
      <c r="D153" s="797"/>
      <c r="E153" s="797"/>
      <c r="F153" s="797"/>
      <c r="G153" s="797"/>
      <c r="H153" s="798"/>
    </row>
    <row r="154" spans="1:8" ht="43.9" customHeight="1" thickTop="1" x14ac:dyDescent="0.2">
      <c r="A154" s="265"/>
      <c r="B154" s="266" t="s">
        <v>305</v>
      </c>
      <c r="C154" s="496" t="s">
        <v>304</v>
      </c>
      <c r="D154" s="497" t="s">
        <v>393</v>
      </c>
      <c r="E154" s="498" t="s">
        <v>395</v>
      </c>
      <c r="F154" s="498" t="s">
        <v>396</v>
      </c>
      <c r="G154" s="499" t="s">
        <v>394</v>
      </c>
      <c r="H154" s="503" t="s">
        <v>391</v>
      </c>
    </row>
    <row r="155" spans="1:8" ht="22.15" customHeight="1" x14ac:dyDescent="0.2">
      <c r="A155" s="433" t="s">
        <v>314</v>
      </c>
      <c r="B155" s="434">
        <v>32</v>
      </c>
      <c r="C155" s="434">
        <v>25</v>
      </c>
      <c r="D155" s="434">
        <v>17</v>
      </c>
      <c r="E155" s="434">
        <v>15.5</v>
      </c>
      <c r="F155" s="434">
        <v>16</v>
      </c>
      <c r="G155" s="500">
        <v>20</v>
      </c>
      <c r="H155" s="435">
        <v>17</v>
      </c>
    </row>
    <row r="156" spans="1:8" ht="31.9" customHeight="1" x14ac:dyDescent="0.2">
      <c r="A156" s="529" t="s">
        <v>387</v>
      </c>
      <c r="B156" s="431">
        <f t="shared" ref="B156:H156" si="3">B155/2*$D$111*$D$103</f>
        <v>22.388400000000001</v>
      </c>
      <c r="C156" s="431">
        <f t="shared" si="3"/>
        <v>17.490937500000001</v>
      </c>
      <c r="D156" s="462">
        <f t="shared" si="3"/>
        <v>11.893837500000002</v>
      </c>
      <c r="E156" s="462">
        <f t="shared" si="3"/>
        <v>10.844381250000001</v>
      </c>
      <c r="F156" s="462">
        <f t="shared" si="3"/>
        <v>11.1942</v>
      </c>
      <c r="G156" s="501">
        <f t="shared" si="3"/>
        <v>13.992750000000001</v>
      </c>
      <c r="H156" s="270">
        <f t="shared" si="3"/>
        <v>11.893837500000002</v>
      </c>
    </row>
    <row r="157" spans="1:8" ht="22.15" customHeight="1" x14ac:dyDescent="0.2">
      <c r="A157" s="267" t="s">
        <v>309</v>
      </c>
      <c r="B157" s="462">
        <v>0</v>
      </c>
      <c r="C157" s="462">
        <v>4</v>
      </c>
      <c r="D157" s="462">
        <v>0</v>
      </c>
      <c r="E157" s="462">
        <v>4</v>
      </c>
      <c r="F157" s="462">
        <v>4</v>
      </c>
      <c r="G157" s="501">
        <v>4</v>
      </c>
      <c r="H157" s="270">
        <v>4</v>
      </c>
    </row>
    <row r="158" spans="1:8" ht="22.15" customHeight="1" x14ac:dyDescent="0.2">
      <c r="A158" s="432" t="s">
        <v>307</v>
      </c>
      <c r="B158" s="434">
        <v>0</v>
      </c>
      <c r="C158" s="434">
        <v>25</v>
      </c>
      <c r="D158" s="434">
        <v>17</v>
      </c>
      <c r="E158" s="434">
        <v>15.5</v>
      </c>
      <c r="F158" s="434">
        <v>12</v>
      </c>
      <c r="G158" s="500">
        <v>20</v>
      </c>
      <c r="H158" s="435">
        <v>17</v>
      </c>
    </row>
    <row r="159" spans="1:8" ht="31.15" customHeight="1" x14ac:dyDescent="0.2">
      <c r="A159" s="529" t="s">
        <v>388</v>
      </c>
      <c r="B159" s="522">
        <f>B158/2*$D$111*$D$103</f>
        <v>0</v>
      </c>
      <c r="C159" s="522">
        <f t="shared" ref="C159:H159" si="4">C158/2*$D$111*$D$103</f>
        <v>17.490937500000001</v>
      </c>
      <c r="D159" s="522">
        <f t="shared" si="4"/>
        <v>11.893837500000002</v>
      </c>
      <c r="E159" s="522">
        <f t="shared" si="4"/>
        <v>10.844381250000001</v>
      </c>
      <c r="F159" s="522">
        <f t="shared" si="4"/>
        <v>8.3956499999999998</v>
      </c>
      <c r="G159" s="522">
        <f t="shared" si="4"/>
        <v>13.992750000000001</v>
      </c>
      <c r="H159" s="522">
        <f t="shared" si="4"/>
        <v>11.893837500000002</v>
      </c>
    </row>
    <row r="160" spans="1:8" ht="22.15" customHeight="1" x14ac:dyDescent="0.2">
      <c r="A160" s="267" t="s">
        <v>310</v>
      </c>
      <c r="B160" s="462">
        <v>0</v>
      </c>
      <c r="C160" s="462">
        <v>0</v>
      </c>
      <c r="D160" s="462">
        <v>0</v>
      </c>
      <c r="E160" s="462">
        <v>0</v>
      </c>
      <c r="F160" s="462">
        <v>4</v>
      </c>
      <c r="G160" s="501">
        <v>0</v>
      </c>
      <c r="H160" s="270">
        <v>4</v>
      </c>
    </row>
    <row r="161" spans="1:8" ht="22.15" customHeight="1" x14ac:dyDescent="0.2">
      <c r="A161" s="432" t="s">
        <v>308</v>
      </c>
      <c r="B161" s="434">
        <v>0</v>
      </c>
      <c r="C161" s="434">
        <v>0</v>
      </c>
      <c r="D161" s="434">
        <v>0</v>
      </c>
      <c r="E161" s="434">
        <v>0</v>
      </c>
      <c r="F161" s="434">
        <v>0</v>
      </c>
      <c r="G161" s="500">
        <v>20</v>
      </c>
      <c r="H161" s="435">
        <v>8</v>
      </c>
    </row>
    <row r="162" spans="1:8" ht="31.9" customHeight="1" x14ac:dyDescent="0.2">
      <c r="A162" s="529" t="s">
        <v>389</v>
      </c>
      <c r="B162" s="431">
        <f>B161/2*$D$111*$D$103</f>
        <v>0</v>
      </c>
      <c r="C162" s="522">
        <f t="shared" ref="C162:H162" si="5">C161/2*$D$111*$D$103</f>
        <v>0</v>
      </c>
      <c r="D162" s="522">
        <f t="shared" si="5"/>
        <v>0</v>
      </c>
      <c r="E162" s="522">
        <f t="shared" si="5"/>
        <v>0</v>
      </c>
      <c r="F162" s="522">
        <f t="shared" si="5"/>
        <v>0</v>
      </c>
      <c r="G162" s="522">
        <f t="shared" si="5"/>
        <v>13.992750000000001</v>
      </c>
      <c r="H162" s="522">
        <f t="shared" si="5"/>
        <v>5.5971000000000002</v>
      </c>
    </row>
    <row r="163" spans="1:8" ht="22.15" customHeight="1" x14ac:dyDescent="0.2">
      <c r="A163" s="268" t="s">
        <v>135</v>
      </c>
      <c r="B163" s="285">
        <v>6</v>
      </c>
      <c r="C163" s="285">
        <v>6</v>
      </c>
      <c r="D163" s="285">
        <v>6</v>
      </c>
      <c r="E163" s="285">
        <v>6</v>
      </c>
      <c r="F163" s="285">
        <v>6</v>
      </c>
      <c r="G163" s="502">
        <v>6</v>
      </c>
      <c r="H163" s="286">
        <v>6</v>
      </c>
    </row>
    <row r="164" spans="1:8" ht="22.15" customHeight="1" x14ac:dyDescent="0.2">
      <c r="A164" s="269" t="s">
        <v>139</v>
      </c>
      <c r="B164" s="431">
        <f>C144</f>
        <v>2.625</v>
      </c>
      <c r="C164" s="431">
        <f>C144</f>
        <v>2.625</v>
      </c>
      <c r="D164" s="431">
        <f>C148</f>
        <v>1.9145833333333333</v>
      </c>
      <c r="E164" s="431">
        <f>D148</f>
        <v>1.8302083333333332</v>
      </c>
      <c r="F164" s="431">
        <f>E148</f>
        <v>1.8583333333333334</v>
      </c>
      <c r="G164" s="501">
        <f>F148</f>
        <v>2.083333333333333</v>
      </c>
      <c r="H164" s="270">
        <f>G148</f>
        <v>1.9145833333333333</v>
      </c>
    </row>
    <row r="165" spans="1:8" ht="22.15" customHeight="1" x14ac:dyDescent="0.2">
      <c r="A165" s="269" t="s">
        <v>136</v>
      </c>
      <c r="B165" s="431">
        <f>IF(B164&gt;B163, MIN(B164+B163,$D$152), MIN(B164,$D$152) )</f>
        <v>2.625</v>
      </c>
      <c r="C165" s="431">
        <f>IF(C164&gt;C163, MIN(C164+C163,$D$152), MIN(C164,$D$152) )</f>
        <v>2.625</v>
      </c>
      <c r="D165" s="431">
        <f>IF(D164&gt;D163, MIN(D164+D163, $D$152), MIN(D164,$D$152))</f>
        <v>1.9145833333333333</v>
      </c>
      <c r="E165" s="431">
        <f>IF(E164&gt;E163, MIN(E164+E163, $D$152), MIN(E164,$D$152))</f>
        <v>1.8302083333333332</v>
      </c>
      <c r="F165" s="431">
        <f>IF(F164&gt;F163, MIN(F164+F163, D152), MIN(F164,D152))</f>
        <v>1.8583333333333334</v>
      </c>
      <c r="G165" s="501">
        <f>IF(G164&gt;G163, MIN(G164+G163, D152), MIN(G164,D152))</f>
        <v>2.083333333333333</v>
      </c>
      <c r="H165" s="270">
        <f>IF(H164&gt;H163, MIN(H164+H163, F152), MIN(H164,F152))</f>
        <v>1.9145833333333333</v>
      </c>
    </row>
    <row r="166" spans="1:8" ht="22.15" customHeight="1" x14ac:dyDescent="0.2">
      <c r="A166" s="269" t="s">
        <v>141</v>
      </c>
      <c r="B166" s="431">
        <f>C145</f>
        <v>1.7916666666666665</v>
      </c>
      <c r="C166" s="431">
        <f>C145</f>
        <v>1.7916666666666665</v>
      </c>
      <c r="D166" s="431">
        <f>C149</f>
        <v>1.9257333333333331</v>
      </c>
      <c r="E166" s="431">
        <f>D149</f>
        <v>1.9257333333333331</v>
      </c>
      <c r="F166" s="431">
        <f>E149</f>
        <v>1.9257333333333331</v>
      </c>
      <c r="G166" s="501">
        <f>F149</f>
        <v>1.9257333333333331</v>
      </c>
      <c r="H166" s="270">
        <f>G149</f>
        <v>1.9257333333333331</v>
      </c>
    </row>
    <row r="167" spans="1:8" ht="22.15" customHeight="1" x14ac:dyDescent="0.2">
      <c r="A167" s="269" t="s">
        <v>140</v>
      </c>
      <c r="B167" s="431">
        <f t="shared" ref="B167:G167" si="6">IF(B166&gt;B157, B166+B157+B160, B166)</f>
        <v>1.7916666666666665</v>
      </c>
      <c r="C167" s="431">
        <f t="shared" si="6"/>
        <v>1.7916666666666665</v>
      </c>
      <c r="D167" s="431">
        <f t="shared" si="6"/>
        <v>1.9257333333333331</v>
      </c>
      <c r="E167" s="431">
        <f t="shared" si="6"/>
        <v>1.9257333333333331</v>
      </c>
      <c r="F167" s="431">
        <f t="shared" si="6"/>
        <v>1.9257333333333331</v>
      </c>
      <c r="G167" s="501">
        <f t="shared" si="6"/>
        <v>1.9257333333333331</v>
      </c>
      <c r="H167" s="270">
        <f>IF(H166&gt;H157, H166+H157+H160, H166)</f>
        <v>1.9257333333333331</v>
      </c>
    </row>
    <row r="168" spans="1:8" ht="27" customHeight="1" x14ac:dyDescent="0.2">
      <c r="A168" s="269" t="s">
        <v>318</v>
      </c>
      <c r="B168" s="431">
        <f t="shared" ref="B168:G168" si="7">B165*B167</f>
        <v>4.703125</v>
      </c>
      <c r="C168" s="431">
        <f t="shared" si="7"/>
        <v>4.703125</v>
      </c>
      <c r="D168" s="431">
        <f t="shared" si="7"/>
        <v>3.686976944444444</v>
      </c>
      <c r="E168" s="431">
        <f t="shared" si="7"/>
        <v>3.5244931944444438</v>
      </c>
      <c r="F168" s="431">
        <f t="shared" si="7"/>
        <v>3.5786544444444441</v>
      </c>
      <c r="G168" s="501">
        <f t="shared" si="7"/>
        <v>4.0119444444444436</v>
      </c>
      <c r="H168" s="270">
        <f t="shared" ref="H168" si="8">H165*H167</f>
        <v>3.686976944444444</v>
      </c>
    </row>
    <row r="169" spans="1:8" ht="22.15" customHeight="1" x14ac:dyDescent="0.2">
      <c r="A169" s="269" t="s">
        <v>311</v>
      </c>
      <c r="B169" s="431">
        <f>IF(AND(B165&gt;B164,B167&gt;B166),B156*2+B159*2+B162*2,IF(AND(B165&gt;B164,B167=B166),2*B156,IF(AND(B165=B164,B167&gt;B166),B156+B159+B162,B156)))</f>
        <v>22.388400000000001</v>
      </c>
      <c r="C169" s="431">
        <f t="shared" ref="C169:G169" si="9">IF(AND(C165&gt;C164,C167&gt;C166),C156*2+C159*2+C162*2,IF(AND(C165&gt;C164,C167=C166),2*C156,IF(AND(C165=C164,C167&gt;C166),C156+C159+C162,C156)))</f>
        <v>17.490937500000001</v>
      </c>
      <c r="D169" s="431">
        <f t="shared" si="9"/>
        <v>11.893837500000002</v>
      </c>
      <c r="E169" s="431">
        <f t="shared" si="9"/>
        <v>10.844381250000001</v>
      </c>
      <c r="F169" s="431">
        <f t="shared" si="9"/>
        <v>11.1942</v>
      </c>
      <c r="G169" s="501">
        <f t="shared" si="9"/>
        <v>13.992750000000001</v>
      </c>
      <c r="H169" s="270">
        <f t="shared" ref="H169" si="10">IF(AND(H165&gt;H164,H167&gt;H166),H156*2+H159*2+H162*2,IF(AND(H165&gt;H164,H167=H166),2*H156,IF(AND(H165=H164,H167&gt;H166),H156+H159+H162,H156)))</f>
        <v>11.893837500000002</v>
      </c>
    </row>
    <row r="170" spans="1:8" ht="22.15" customHeight="1" x14ac:dyDescent="0.2">
      <c r="A170" s="269" t="s">
        <v>196</v>
      </c>
      <c r="B170" s="431">
        <f t="shared" ref="B170:F170" si="11">B169/B168</f>
        <v>4.7603242524916949</v>
      </c>
      <c r="C170" s="431">
        <f t="shared" si="11"/>
        <v>3.7190033222591365</v>
      </c>
      <c r="D170" s="431">
        <f t="shared" si="11"/>
        <v>3.2259050379801528</v>
      </c>
      <c r="E170" s="431">
        <f t="shared" si="11"/>
        <v>3.0768625875327791</v>
      </c>
      <c r="F170" s="431">
        <f t="shared" si="11"/>
        <v>3.128047195888958</v>
      </c>
      <c r="G170" s="501">
        <f>G169/G168</f>
        <v>3.4877726234161885</v>
      </c>
      <c r="H170" s="270">
        <f t="shared" ref="H170" si="12">H169/H168</f>
        <v>3.2259050379801528</v>
      </c>
    </row>
    <row r="171" spans="1:8" ht="22.15" customHeight="1" thickBot="1" x14ac:dyDescent="0.25">
      <c r="A171" s="289" t="s">
        <v>264</v>
      </c>
      <c r="B171" s="271">
        <f t="shared" ref="B171:G171" si="13">MAX(B170*$D$31/2, B170*$D$32)</f>
        <v>36.702099986710969</v>
      </c>
      <c r="C171" s="271">
        <f t="shared" si="13"/>
        <v>28.673515614617944</v>
      </c>
      <c r="D171" s="271">
        <f t="shared" si="13"/>
        <v>24.871727842826978</v>
      </c>
      <c r="E171" s="271">
        <f t="shared" si="13"/>
        <v>23.722610549877725</v>
      </c>
      <c r="F171" s="271">
        <f t="shared" si="13"/>
        <v>24.117243880303867</v>
      </c>
      <c r="G171" s="339">
        <f t="shared" si="13"/>
        <v>26.890726926538814</v>
      </c>
      <c r="H171" s="272">
        <f t="shared" ref="H171" si="14">MAX(H170*$D$31/2, H170*$D$32)</f>
        <v>24.871727842826978</v>
      </c>
    </row>
    <row r="172" spans="1:8" ht="18" customHeight="1" thickTop="1" x14ac:dyDescent="0.2">
      <c r="A172" s="782" t="s">
        <v>390</v>
      </c>
      <c r="B172" s="783"/>
      <c r="C172" s="783"/>
      <c r="D172" s="783"/>
      <c r="E172" s="783"/>
      <c r="F172" s="783"/>
      <c r="G172" s="783"/>
      <c r="H172" s="784"/>
    </row>
    <row r="173" spans="1:8" ht="18" customHeight="1" x14ac:dyDescent="0.2">
      <c r="A173" s="789" t="s">
        <v>319</v>
      </c>
      <c r="B173" s="790"/>
      <c r="C173" s="790"/>
      <c r="D173" s="790"/>
      <c r="E173" s="790"/>
      <c r="F173" s="790"/>
      <c r="G173" s="790"/>
      <c r="H173" s="504"/>
    </row>
    <row r="174" spans="1:8" ht="18" customHeight="1" x14ac:dyDescent="0.2">
      <c r="A174" s="789" t="s">
        <v>320</v>
      </c>
      <c r="B174" s="790"/>
      <c r="C174" s="790"/>
      <c r="D174" s="790"/>
      <c r="E174" s="790"/>
      <c r="F174" s="790"/>
      <c r="G174" s="790"/>
      <c r="H174" s="504"/>
    </row>
    <row r="175" spans="1:8" ht="18" customHeight="1" x14ac:dyDescent="0.2">
      <c r="A175" s="789" t="s">
        <v>321</v>
      </c>
      <c r="B175" s="790"/>
      <c r="C175" s="790"/>
      <c r="D175" s="790"/>
      <c r="E175" s="790"/>
      <c r="F175" s="790"/>
      <c r="G175" s="790"/>
      <c r="H175" s="504"/>
    </row>
    <row r="176" spans="1:8" ht="18" customHeight="1" x14ac:dyDescent="0.2">
      <c r="A176" s="789" t="s">
        <v>322</v>
      </c>
      <c r="B176" s="790"/>
      <c r="C176" s="790"/>
      <c r="D176" s="790"/>
      <c r="E176" s="790"/>
      <c r="F176" s="790"/>
      <c r="G176" s="790"/>
      <c r="H176" s="504"/>
    </row>
    <row r="177" spans="1:8" ht="18" customHeight="1" x14ac:dyDescent="0.2">
      <c r="A177" s="791" t="s">
        <v>317</v>
      </c>
      <c r="B177" s="792"/>
      <c r="C177" s="792"/>
      <c r="D177" s="792"/>
      <c r="E177" s="792"/>
      <c r="F177" s="792"/>
      <c r="G177" s="792"/>
      <c r="H177" s="504"/>
    </row>
    <row r="178" spans="1:8" ht="18" customHeight="1" x14ac:dyDescent="0.2">
      <c r="A178" s="787" t="s">
        <v>312</v>
      </c>
      <c r="B178" s="788"/>
      <c r="C178" s="788"/>
      <c r="D178" s="788"/>
      <c r="E178" s="788"/>
      <c r="F178" s="788"/>
      <c r="G178" s="788"/>
      <c r="H178" s="504"/>
    </row>
    <row r="179" spans="1:8" ht="18" customHeight="1" x14ac:dyDescent="0.2">
      <c r="A179" s="787" t="s">
        <v>313</v>
      </c>
      <c r="B179" s="788"/>
      <c r="C179" s="788"/>
      <c r="D179" s="788"/>
      <c r="E179" s="788"/>
      <c r="F179" s="788"/>
      <c r="G179" s="788"/>
      <c r="H179" s="504"/>
    </row>
    <row r="180" spans="1:8" ht="61.9" customHeight="1" thickBot="1" x14ac:dyDescent="0.25">
      <c r="A180" s="728" t="s">
        <v>323</v>
      </c>
      <c r="B180" s="729"/>
      <c r="C180" s="729"/>
      <c r="D180" s="729"/>
      <c r="E180" s="729"/>
      <c r="F180" s="729"/>
      <c r="G180" s="729"/>
      <c r="H180" s="730"/>
    </row>
    <row r="181" spans="1:8" ht="6" customHeight="1" thickTop="1" x14ac:dyDescent="0.2">
      <c r="A181" s="332"/>
      <c r="B181" s="332"/>
      <c r="C181" s="332"/>
      <c r="D181" s="332"/>
      <c r="E181" s="332"/>
      <c r="F181" s="332"/>
      <c r="G181" s="332"/>
    </row>
    <row r="182" spans="1:8" ht="18" customHeight="1" x14ac:dyDescent="0.2">
      <c r="A182" s="767" t="s">
        <v>142</v>
      </c>
      <c r="B182" s="767"/>
      <c r="C182" s="767"/>
      <c r="D182" s="767"/>
      <c r="E182" s="767"/>
      <c r="F182" s="767"/>
      <c r="G182" s="767"/>
    </row>
    <row r="183" spans="1:8" ht="16.899999999999999" customHeight="1" x14ac:dyDescent="0.2">
      <c r="A183" s="257" t="s">
        <v>150</v>
      </c>
    </row>
    <row r="184" spans="1:8" ht="20.45" customHeight="1" x14ac:dyDescent="0.2">
      <c r="A184" s="187" t="s">
        <v>143</v>
      </c>
    </row>
    <row r="185" spans="1:8" ht="12" customHeight="1" x14ac:dyDescent="0.2"/>
    <row r="186" spans="1:8" ht="13.9" customHeight="1" x14ac:dyDescent="0.2"/>
    <row r="187" spans="1:8" ht="18" x14ac:dyDescent="0.2">
      <c r="A187" s="187" t="s">
        <v>149</v>
      </c>
    </row>
    <row r="188" spans="1:8" ht="12" customHeight="1" x14ac:dyDescent="0.2"/>
    <row r="189" spans="1:8" ht="12.6" customHeight="1" x14ac:dyDescent="0.2"/>
    <row r="190" spans="1:8" ht="22.15" customHeight="1" x14ac:dyDescent="0.2">
      <c r="B190" s="34" t="s">
        <v>151</v>
      </c>
      <c r="D190" s="260">
        <f>IF((2.36*E62/D31+0.528)&gt;1, 1, 2.36*E62/D31+0.528)</f>
        <v>0.65553999135322094</v>
      </c>
    </row>
    <row r="191" spans="1:8" ht="15.6" customHeight="1" x14ac:dyDescent="0.2">
      <c r="B191" s="258" t="s">
        <v>152</v>
      </c>
      <c r="C191" s="74">
        <f>IF(E61="-", "-", E62^2/(D190*(E61)^2))</f>
        <v>0.28513435242130131</v>
      </c>
      <c r="D191" s="427" t="str">
        <f>IF(C191="-", "Long Span Structural Plate Structure Geometric Limits Exceed, Spreadsheet Cannot be Used!", "")</f>
        <v/>
      </c>
    </row>
    <row r="192" spans="1:8" ht="6" customHeight="1" thickBot="1" x14ac:dyDescent="0.25">
      <c r="B192" s="258"/>
      <c r="C192" s="260"/>
    </row>
    <row r="193" spans="1:8" ht="19.899999999999999" customHeight="1" thickTop="1" thickBot="1" x14ac:dyDescent="0.25">
      <c r="A193" s="772" t="s">
        <v>161</v>
      </c>
      <c r="B193" s="773"/>
      <c r="C193" s="773"/>
      <c r="D193" s="773"/>
      <c r="E193" s="773"/>
      <c r="F193" s="773"/>
      <c r="G193" s="773"/>
      <c r="H193" s="774"/>
    </row>
    <row r="194" spans="1:8" ht="44.45" customHeight="1" thickTop="1" thickBot="1" x14ac:dyDescent="0.25">
      <c r="A194" s="505"/>
      <c r="B194" s="506" t="s">
        <v>305</v>
      </c>
      <c r="C194" s="506" t="s">
        <v>304</v>
      </c>
      <c r="D194" s="497" t="s">
        <v>393</v>
      </c>
      <c r="E194" s="498" t="s">
        <v>395</v>
      </c>
      <c r="F194" s="498" t="s">
        <v>396</v>
      </c>
      <c r="G194" s="499" t="s">
        <v>394</v>
      </c>
      <c r="H194" s="507" t="s">
        <v>391</v>
      </c>
    </row>
    <row r="195" spans="1:8" ht="16.899999999999999" customHeight="1" thickTop="1" x14ac:dyDescent="0.2">
      <c r="A195" s="274" t="s">
        <v>144</v>
      </c>
      <c r="B195" s="290">
        <f>$C$87</f>
        <v>88.440000000000012</v>
      </c>
      <c r="C195" s="436">
        <f>$C$87</f>
        <v>88.440000000000012</v>
      </c>
      <c r="D195" s="291">
        <f t="shared" ref="D195:F195" si="15">$C$87</f>
        <v>88.440000000000012</v>
      </c>
      <c r="E195" s="291">
        <f t="shared" si="15"/>
        <v>88.440000000000012</v>
      </c>
      <c r="F195" s="291">
        <f t="shared" si="15"/>
        <v>88.440000000000012</v>
      </c>
      <c r="G195" s="508">
        <f>$C$87</f>
        <v>88.440000000000012</v>
      </c>
      <c r="H195" s="292">
        <f>$C$87</f>
        <v>88.440000000000012</v>
      </c>
    </row>
    <row r="196" spans="1:8" ht="16.899999999999999" customHeight="1" x14ac:dyDescent="0.2">
      <c r="A196" s="274" t="s">
        <v>358</v>
      </c>
      <c r="B196" s="769">
        <f>'CMP Input'!D77</f>
        <v>1</v>
      </c>
      <c r="C196" s="770"/>
      <c r="D196" s="770"/>
      <c r="E196" s="770"/>
      <c r="F196" s="770"/>
      <c r="G196" s="770"/>
      <c r="H196" s="771"/>
    </row>
    <row r="197" spans="1:8" ht="16.899999999999999" customHeight="1" x14ac:dyDescent="0.2">
      <c r="A197" s="275" t="s">
        <v>145</v>
      </c>
      <c r="B197" s="293">
        <f>$C$93</f>
        <v>0.77100000000000002</v>
      </c>
      <c r="C197" s="437">
        <f>$C$93</f>
        <v>0.77100000000000002</v>
      </c>
      <c r="D197" s="285">
        <f t="shared" ref="D197:H197" si="16">$C$93</f>
        <v>0.77100000000000002</v>
      </c>
      <c r="E197" s="285">
        <f t="shared" si="16"/>
        <v>0.77100000000000002</v>
      </c>
      <c r="F197" s="285">
        <f t="shared" si="16"/>
        <v>0.77100000000000002</v>
      </c>
      <c r="G197" s="502">
        <f t="shared" si="16"/>
        <v>0.77100000000000002</v>
      </c>
      <c r="H197" s="286">
        <f t="shared" si="16"/>
        <v>0.77100000000000002</v>
      </c>
    </row>
    <row r="198" spans="1:8" ht="16.899999999999999" customHeight="1" x14ac:dyDescent="0.2">
      <c r="A198" s="275" t="s">
        <v>292</v>
      </c>
      <c r="B198" s="371">
        <f>'CMP Input'!D69</f>
        <v>1.95</v>
      </c>
      <c r="C198" s="438">
        <f>'CMP Input'!D69</f>
        <v>1.95</v>
      </c>
      <c r="D198" s="372">
        <f>'CMP Input'!D69</f>
        <v>1.95</v>
      </c>
      <c r="E198" s="372">
        <f>'CMP Input'!D69</f>
        <v>1.95</v>
      </c>
      <c r="F198" s="372">
        <f>'CMP Input'!D69</f>
        <v>1.95</v>
      </c>
      <c r="G198" s="509">
        <f>'CMP Input'!D69</f>
        <v>1.95</v>
      </c>
      <c r="H198" s="373">
        <f>'CMP Input'!D69</f>
        <v>1.95</v>
      </c>
    </row>
    <row r="199" spans="1:8" ht="16.899999999999999" customHeight="1" x14ac:dyDescent="0.2">
      <c r="A199" s="275" t="s">
        <v>300</v>
      </c>
      <c r="B199" s="371">
        <f>'CMP Input'!D68</f>
        <v>1.05</v>
      </c>
      <c r="C199" s="438">
        <f>'CMP Input'!D68</f>
        <v>1.05</v>
      </c>
      <c r="D199" s="372">
        <f>'CMP Input'!D68</f>
        <v>1.05</v>
      </c>
      <c r="E199" s="372">
        <f>'CMP Input'!D68</f>
        <v>1.05</v>
      </c>
      <c r="F199" s="372">
        <f>'CMP Input'!D68</f>
        <v>1.05</v>
      </c>
      <c r="G199" s="509">
        <f>'CMP Input'!D68</f>
        <v>1.05</v>
      </c>
      <c r="H199" s="373">
        <f>'CMP Input'!D68</f>
        <v>1.05</v>
      </c>
    </row>
    <row r="200" spans="1:8" ht="16.899999999999999" customHeight="1" x14ac:dyDescent="0.2">
      <c r="A200" s="275" t="s">
        <v>195</v>
      </c>
      <c r="B200" s="374">
        <f t="shared" ref="B200:G200" si="17">B171</f>
        <v>36.702099986710969</v>
      </c>
      <c r="C200" s="439">
        <f t="shared" si="17"/>
        <v>28.673515614617944</v>
      </c>
      <c r="D200" s="350">
        <f t="shared" si="17"/>
        <v>24.871727842826978</v>
      </c>
      <c r="E200" s="350">
        <f t="shared" si="17"/>
        <v>23.722610549877725</v>
      </c>
      <c r="F200" s="350">
        <f t="shared" si="17"/>
        <v>24.117243880303867</v>
      </c>
      <c r="G200" s="501">
        <f t="shared" si="17"/>
        <v>26.890726926538814</v>
      </c>
      <c r="H200" s="270">
        <f t="shared" ref="H200" si="18">H171</f>
        <v>24.871727842826978</v>
      </c>
    </row>
    <row r="201" spans="1:8" ht="16.899999999999999" customHeight="1" x14ac:dyDescent="0.2">
      <c r="A201" s="275" t="s">
        <v>282</v>
      </c>
      <c r="B201" s="371">
        <f>'CMP Input'!D71</f>
        <v>1.35</v>
      </c>
      <c r="C201" s="440">
        <f>'CMP Input'!D71</f>
        <v>1.35</v>
      </c>
      <c r="D201" s="372">
        <f>'CMP Input'!D72</f>
        <v>1.4</v>
      </c>
      <c r="E201" s="372">
        <f>'CMP Input'!D72</f>
        <v>1.4</v>
      </c>
      <c r="F201" s="372">
        <f>'CMP Input'!D72</f>
        <v>1.4</v>
      </c>
      <c r="G201" s="509">
        <f>'CMP Input'!D72</f>
        <v>1.4</v>
      </c>
      <c r="H201" s="373">
        <f>'CMP Input'!D72</f>
        <v>1.4</v>
      </c>
    </row>
    <row r="202" spans="1:8" ht="16.899999999999999" customHeight="1" x14ac:dyDescent="0.2">
      <c r="A202" s="275" t="s">
        <v>146</v>
      </c>
      <c r="B202" s="455">
        <f>(B195*$B$196-B198*B197*B199)/(B200*B201)</f>
        <v>1.7530811897522995</v>
      </c>
      <c r="C202" s="445">
        <f t="shared" ref="C202:G202" si="19">(C195*$B$196-C198*C197*C199)/(C200*C201)</f>
        <v>2.2439439228829432</v>
      </c>
      <c r="D202" s="445">
        <f t="shared" si="19"/>
        <v>2.494552910175964</v>
      </c>
      <c r="E202" s="445">
        <f t="shared" si="19"/>
        <v>2.6153884262011959</v>
      </c>
      <c r="F202" s="445">
        <f t="shared" si="19"/>
        <v>2.572592514275593</v>
      </c>
      <c r="G202" s="501">
        <f t="shared" si="19"/>
        <v>2.3072578603368545</v>
      </c>
      <c r="H202" s="270">
        <f t="shared" ref="H202" si="20">(H195*$B$196-H198*H197*H199)/(H200*H201)</f>
        <v>2.494552910175964</v>
      </c>
    </row>
    <row r="203" spans="1:8" ht="16.899999999999999" customHeight="1" x14ac:dyDescent="0.2">
      <c r="A203" s="275" t="s">
        <v>153</v>
      </c>
      <c r="B203" s="293">
        <f>$C$191</f>
        <v>0.28513435242130131</v>
      </c>
      <c r="C203" s="437">
        <f>$C$191</f>
        <v>0.28513435242130131</v>
      </c>
      <c r="D203" s="285">
        <f t="shared" ref="D203:H203" si="21">$C$191</f>
        <v>0.28513435242130131</v>
      </c>
      <c r="E203" s="285">
        <f t="shared" si="21"/>
        <v>0.28513435242130131</v>
      </c>
      <c r="F203" s="285">
        <f t="shared" si="21"/>
        <v>0.28513435242130131</v>
      </c>
      <c r="G203" s="502">
        <f t="shared" si="21"/>
        <v>0.28513435242130131</v>
      </c>
      <c r="H203" s="286">
        <f t="shared" si="21"/>
        <v>0.28513435242130131</v>
      </c>
    </row>
    <row r="204" spans="1:8" ht="16.899999999999999" customHeight="1" thickBot="1" x14ac:dyDescent="0.25">
      <c r="A204" s="276" t="s">
        <v>154</v>
      </c>
      <c r="B204" s="442">
        <f>MIN(B202,$B$203)</f>
        <v>0.28513435242130131</v>
      </c>
      <c r="C204" s="441">
        <f>MIN(C202,$B$203)</f>
        <v>0.28513435242130131</v>
      </c>
      <c r="D204" s="339">
        <f t="shared" ref="D204:G204" si="22">MIN(D202,$B$203)</f>
        <v>0.28513435242130131</v>
      </c>
      <c r="E204" s="339">
        <f t="shared" si="22"/>
        <v>0.28513435242130131</v>
      </c>
      <c r="F204" s="271">
        <f t="shared" si="22"/>
        <v>0.28513435242130131</v>
      </c>
      <c r="G204" s="339">
        <f t="shared" si="22"/>
        <v>0.28513435242130131</v>
      </c>
      <c r="H204" s="272">
        <f t="shared" ref="H204" si="23">MIN(H202,$B$203)</f>
        <v>0.28513435242130131</v>
      </c>
    </row>
    <row r="205" spans="1:8" ht="4.9000000000000004" customHeight="1" thickTop="1" x14ac:dyDescent="0.2">
      <c r="A205" s="768"/>
      <c r="B205" s="768"/>
      <c r="C205" s="768"/>
    </row>
    <row r="206" spans="1:8" ht="16.899999999999999" customHeight="1" x14ac:dyDescent="0.2">
      <c r="A206" s="257" t="s">
        <v>155</v>
      </c>
    </row>
    <row r="207" spans="1:8" ht="18" x14ac:dyDescent="0.2">
      <c r="A207" s="187" t="s">
        <v>156</v>
      </c>
    </row>
    <row r="209" spans="1:6" ht="10.9" customHeight="1" x14ac:dyDescent="0.2"/>
    <row r="210" spans="1:6" ht="18" x14ac:dyDescent="0.2">
      <c r="A210" s="187" t="s">
        <v>157</v>
      </c>
    </row>
    <row r="212" spans="1:6" ht="14.45" customHeight="1" thickBot="1" x14ac:dyDescent="0.25"/>
    <row r="213" spans="1:6" ht="21" customHeight="1" thickTop="1" thickBot="1" x14ac:dyDescent="0.25">
      <c r="A213" s="772" t="s">
        <v>162</v>
      </c>
      <c r="B213" s="773"/>
      <c r="C213" s="774"/>
    </row>
    <row r="214" spans="1:6" ht="16.5" customHeight="1" thickTop="1" thickBot="1" x14ac:dyDescent="0.25">
      <c r="A214" s="273"/>
      <c r="B214" s="277" t="s">
        <v>305</v>
      </c>
      <c r="C214" s="277" t="s">
        <v>304</v>
      </c>
      <c r="D214" s="47"/>
      <c r="E214" s="47"/>
      <c r="F214" s="47"/>
    </row>
    <row r="215" spans="1:6" ht="16.149999999999999" customHeight="1" thickTop="1" x14ac:dyDescent="0.2">
      <c r="A215" s="347" t="s">
        <v>144</v>
      </c>
      <c r="B215" s="345">
        <f>B195</f>
        <v>88.440000000000012</v>
      </c>
      <c r="C215" s="345">
        <f>C195</f>
        <v>88.440000000000012</v>
      </c>
      <c r="D215" s="47"/>
      <c r="E215" s="47"/>
      <c r="F215" s="47"/>
    </row>
    <row r="216" spans="1:6" ht="16.149999999999999" customHeight="1" x14ac:dyDescent="0.2">
      <c r="A216" s="274" t="s">
        <v>358</v>
      </c>
      <c r="B216" s="769">
        <f>'CMP Input'!D77</f>
        <v>1</v>
      </c>
      <c r="C216" s="771"/>
      <c r="D216" s="47"/>
      <c r="E216" s="47"/>
      <c r="F216" s="47"/>
    </row>
    <row r="217" spans="1:6" ht="16.149999999999999" customHeight="1" x14ac:dyDescent="0.2">
      <c r="A217" s="275" t="s">
        <v>145</v>
      </c>
      <c r="B217" s="346">
        <f>B197</f>
        <v>0.77100000000000002</v>
      </c>
      <c r="C217" s="346">
        <f>C197</f>
        <v>0.77100000000000002</v>
      </c>
      <c r="D217" s="47"/>
      <c r="E217" s="47"/>
      <c r="F217" s="47"/>
    </row>
    <row r="218" spans="1:6" ht="16.149999999999999" customHeight="1" x14ac:dyDescent="0.2">
      <c r="A218" s="275" t="s">
        <v>292</v>
      </c>
      <c r="B218" s="417">
        <f>'CMP Input'!D69</f>
        <v>1.95</v>
      </c>
      <c r="C218" s="417">
        <f>'CMP Input'!D69</f>
        <v>1.95</v>
      </c>
      <c r="D218" s="419"/>
      <c r="E218" s="419"/>
      <c r="F218" s="47"/>
    </row>
    <row r="219" spans="1:6" ht="16.149999999999999" customHeight="1" x14ac:dyDescent="0.2">
      <c r="A219" s="429" t="s">
        <v>300</v>
      </c>
      <c r="B219" s="417">
        <f>'CMP Input'!D68</f>
        <v>1.05</v>
      </c>
      <c r="C219" s="373">
        <f>'CMP Input'!D68</f>
        <v>1.05</v>
      </c>
      <c r="D219" s="419"/>
      <c r="E219" s="419"/>
      <c r="F219" s="47"/>
    </row>
    <row r="220" spans="1:6" ht="16.149999999999999" customHeight="1" x14ac:dyDescent="0.2">
      <c r="A220" s="275" t="s">
        <v>195</v>
      </c>
      <c r="B220" s="388">
        <f>B200</f>
        <v>36.702099986710969</v>
      </c>
      <c r="C220" s="388">
        <f>C200</f>
        <v>28.673515614617944</v>
      </c>
      <c r="D220" s="47"/>
      <c r="E220" s="47"/>
      <c r="F220" s="47"/>
    </row>
    <row r="221" spans="1:6" ht="16.149999999999999" customHeight="1" thickBot="1" x14ac:dyDescent="0.25">
      <c r="A221" s="348" t="s">
        <v>282</v>
      </c>
      <c r="B221" s="418">
        <f>'CMP Input'!O71</f>
        <v>1.75</v>
      </c>
      <c r="C221" s="418">
        <f>'CMP Input'!O71</f>
        <v>1.75</v>
      </c>
      <c r="D221" s="419"/>
      <c r="E221" s="419"/>
      <c r="F221" s="47"/>
    </row>
    <row r="222" spans="1:6" ht="16.149999999999999" customHeight="1" thickTop="1" x14ac:dyDescent="0.2">
      <c r="A222" s="407" t="s">
        <v>158</v>
      </c>
      <c r="B222" s="408">
        <f>(B215*$B$216-B217*B218*B219)/(B220*B221)</f>
        <v>1.3523769178089167</v>
      </c>
      <c r="C222" s="408">
        <f>(C215*$B$216-C217*C218*C219)/(C220*C221)</f>
        <v>1.7310424547954135</v>
      </c>
      <c r="D222" s="260"/>
      <c r="E222" s="260"/>
      <c r="F222" s="260"/>
    </row>
    <row r="223" spans="1:6" ht="16.149999999999999" customHeight="1" x14ac:dyDescent="0.2">
      <c r="A223" s="409" t="s">
        <v>159</v>
      </c>
      <c r="B223" s="388">
        <f>E62^2/E61^2</f>
        <v>0.18691697092076612</v>
      </c>
      <c r="C223" s="388">
        <f>E62^2/E61^2</f>
        <v>0.18691697092076612</v>
      </c>
      <c r="D223" s="48"/>
      <c r="E223" s="48"/>
      <c r="F223" s="48"/>
    </row>
    <row r="224" spans="1:6" ht="16.149999999999999" customHeight="1" thickBot="1" x14ac:dyDescent="0.25">
      <c r="A224" s="410" t="s">
        <v>160</v>
      </c>
      <c r="B224" s="411">
        <f>MIN(B222,$B$223)</f>
        <v>0.18691697092076612</v>
      </c>
      <c r="C224" s="411">
        <f>MIN(C222,$B$223)</f>
        <v>0.18691697092076612</v>
      </c>
      <c r="D224" s="260"/>
      <c r="E224" s="260"/>
      <c r="F224" s="260"/>
    </row>
    <row r="225" spans="2:6" ht="14.25" thickTop="1" thickBot="1" x14ac:dyDescent="0.25">
      <c r="D225" s="260"/>
      <c r="E225" s="260"/>
      <c r="F225" s="260"/>
    </row>
    <row r="226" spans="2:6" ht="16.899999999999999" customHeight="1" thickBot="1" x14ac:dyDescent="0.25">
      <c r="B226" s="805" t="s">
        <v>401</v>
      </c>
      <c r="C226" s="806"/>
      <c r="D226" s="806"/>
      <c r="E226" s="806"/>
      <c r="F226" s="807"/>
    </row>
    <row r="227" spans="2:6" ht="16.899999999999999" customHeight="1" x14ac:dyDescent="0.2">
      <c r="B227" s="808" t="s">
        <v>366</v>
      </c>
      <c r="C227" s="785" t="s">
        <v>367</v>
      </c>
      <c r="D227" s="810" t="s">
        <v>368</v>
      </c>
      <c r="E227" s="811"/>
      <c r="F227" s="812" t="s">
        <v>369</v>
      </c>
    </row>
    <row r="228" spans="2:6" ht="16.899999999999999" customHeight="1" x14ac:dyDescent="0.2">
      <c r="B228" s="809"/>
      <c r="C228" s="786"/>
      <c r="D228" s="480" t="s">
        <v>147</v>
      </c>
      <c r="E228" s="480" t="s">
        <v>148</v>
      </c>
      <c r="F228" s="813"/>
    </row>
    <row r="229" spans="2:6" ht="16.899999999999999" customHeight="1" x14ac:dyDescent="0.2">
      <c r="B229" s="481" t="s">
        <v>177</v>
      </c>
      <c r="C229" s="482">
        <v>36</v>
      </c>
      <c r="D229" s="483">
        <f>MIN(B224,C224)</f>
        <v>0.18691697092076612</v>
      </c>
      <c r="E229" s="483">
        <f>MIN(B204,C204)</f>
        <v>0.28513435242130131</v>
      </c>
      <c r="F229" s="484">
        <f>E229*C229</f>
        <v>10.264836687166847</v>
      </c>
    </row>
    <row r="230" spans="2:6" ht="16.899999999999999" customHeight="1" x14ac:dyDescent="0.2">
      <c r="B230" s="481" t="s">
        <v>397</v>
      </c>
      <c r="C230" s="482">
        <v>25</v>
      </c>
      <c r="D230" s="485"/>
      <c r="E230" s="483">
        <f>D204</f>
        <v>0.28513435242130131</v>
      </c>
      <c r="F230" s="484">
        <f>C230*E230</f>
        <v>7.1283588105325331</v>
      </c>
    </row>
    <row r="231" spans="2:6" ht="16.899999999999999" customHeight="1" x14ac:dyDescent="0.2">
      <c r="B231" s="481" t="s">
        <v>398</v>
      </c>
      <c r="C231" s="482">
        <v>37</v>
      </c>
      <c r="D231" s="485"/>
      <c r="E231" s="483">
        <f>E204</f>
        <v>0.28513435242130131</v>
      </c>
      <c r="F231" s="484">
        <f>C231*E231</f>
        <v>10.549971039588149</v>
      </c>
    </row>
    <row r="232" spans="2:6" ht="16.899999999999999" customHeight="1" x14ac:dyDescent="0.2">
      <c r="B232" s="481" t="s">
        <v>399</v>
      </c>
      <c r="C232" s="482">
        <v>43</v>
      </c>
      <c r="D232" s="485"/>
      <c r="E232" s="483">
        <f>F204</f>
        <v>0.28513435242130131</v>
      </c>
      <c r="F232" s="484">
        <f>C232*E232</f>
        <v>12.260777154115956</v>
      </c>
    </row>
    <row r="233" spans="2:6" ht="16.899999999999999" customHeight="1" x14ac:dyDescent="0.2">
      <c r="B233" s="481" t="s">
        <v>394</v>
      </c>
      <c r="C233" s="482">
        <v>40</v>
      </c>
      <c r="D233" s="485"/>
      <c r="E233" s="483">
        <f>G204</f>
        <v>0.28513435242130131</v>
      </c>
      <c r="F233" s="484">
        <f>C233*E233</f>
        <v>11.405374096852052</v>
      </c>
    </row>
    <row r="234" spans="2:6" ht="16.899999999999999" customHeight="1" x14ac:dyDescent="0.2">
      <c r="B234" s="814" t="s">
        <v>402</v>
      </c>
      <c r="C234" s="815"/>
      <c r="D234" s="815"/>
      <c r="E234" s="815"/>
      <c r="F234" s="816"/>
    </row>
    <row r="235" spans="2:6" ht="16.899999999999999" customHeight="1" x14ac:dyDescent="0.2">
      <c r="B235" s="817">
        <f>MROUND(MIN(E230,E231,E232,E233),0.05)</f>
        <v>0.30000000000000004</v>
      </c>
      <c r="C235" s="818"/>
      <c r="D235" s="818"/>
      <c r="E235" s="818"/>
      <c r="F235" s="819"/>
    </row>
    <row r="236" spans="2:6" ht="16.899999999999999" customHeight="1" x14ac:dyDescent="0.2">
      <c r="B236" s="820" t="s">
        <v>403</v>
      </c>
      <c r="C236" s="821"/>
      <c r="D236" s="821"/>
      <c r="E236" s="821"/>
      <c r="F236" s="822"/>
    </row>
    <row r="237" spans="2:6" ht="16.899999999999999" customHeight="1" thickBot="1" x14ac:dyDescent="0.25">
      <c r="B237" s="823" t="str">
        <f>INDEX(B230:B233,MATCH(MIN(E230:E233),E230:E233,0))</f>
        <v>NDOR Type 3</v>
      </c>
      <c r="C237" s="824"/>
      <c r="D237" s="824"/>
      <c r="E237" s="824"/>
      <c r="F237" s="825"/>
    </row>
    <row r="238" spans="2:6" ht="16.899999999999999" customHeight="1" thickBot="1" x14ac:dyDescent="0.25">
      <c r="B238"/>
      <c r="C238"/>
      <c r="D238"/>
      <c r="E238"/>
      <c r="F238"/>
    </row>
    <row r="239" spans="2:6" ht="16.899999999999999" customHeight="1" thickBot="1" x14ac:dyDescent="0.25">
      <c r="B239" s="826" t="s">
        <v>370</v>
      </c>
      <c r="C239" s="827"/>
      <c r="D239" s="827"/>
      <c r="E239" s="828"/>
      <c r="F239" s="486"/>
    </row>
    <row r="240" spans="2:6" ht="21" customHeight="1" x14ac:dyDescent="0.2">
      <c r="B240" s="808" t="s">
        <v>366</v>
      </c>
      <c r="C240" s="785" t="s">
        <v>367</v>
      </c>
      <c r="D240" s="487" t="s">
        <v>368</v>
      </c>
      <c r="E240" s="812" t="s">
        <v>369</v>
      </c>
      <c r="F240" s="488"/>
    </row>
    <row r="241" spans="1:9" ht="16.899999999999999" customHeight="1" x14ac:dyDescent="0.2">
      <c r="B241" s="809"/>
      <c r="C241" s="786"/>
      <c r="D241" s="480" t="s">
        <v>148</v>
      </c>
      <c r="E241" s="813"/>
      <c r="F241" s="488"/>
    </row>
    <row r="242" spans="1:9" ht="16.899999999999999" customHeight="1" x14ac:dyDescent="0.2">
      <c r="B242" s="481" t="s">
        <v>371</v>
      </c>
      <c r="C242" s="482">
        <v>27</v>
      </c>
      <c r="D242" s="489">
        <f>H204</f>
        <v>0.28513435242130131</v>
      </c>
      <c r="E242" s="484">
        <f>D242*C242</f>
        <v>7.6986275153751356</v>
      </c>
      <c r="F242" s="490"/>
    </row>
    <row r="243" spans="1:9" ht="16.899999999999999" customHeight="1" x14ac:dyDescent="0.2">
      <c r="B243" s="481" t="s">
        <v>372</v>
      </c>
      <c r="C243" s="482">
        <v>31</v>
      </c>
      <c r="D243" s="489">
        <f>H204</f>
        <v>0.28513435242130131</v>
      </c>
      <c r="E243" s="484">
        <f t="shared" ref="E243:E245" si="24">D243*C243</f>
        <v>8.8391649250603397</v>
      </c>
      <c r="F243" s="491"/>
    </row>
    <row r="244" spans="1:9" ht="16.899999999999999" customHeight="1" x14ac:dyDescent="0.2">
      <c r="B244" s="481" t="s">
        <v>373</v>
      </c>
      <c r="C244" s="492">
        <v>34.75</v>
      </c>
      <c r="D244" s="489">
        <f>H204</f>
        <v>0.28513435242130131</v>
      </c>
      <c r="E244" s="484">
        <f t="shared" si="24"/>
        <v>9.9084187466402209</v>
      </c>
      <c r="F244" s="491"/>
    </row>
    <row r="245" spans="1:9" ht="16.899999999999999" customHeight="1" thickBot="1" x14ac:dyDescent="0.25">
      <c r="B245" s="531" t="s">
        <v>374</v>
      </c>
      <c r="C245" s="532">
        <v>38.75</v>
      </c>
      <c r="D245" s="533">
        <f>H204</f>
        <v>0.28513435242130131</v>
      </c>
      <c r="E245" s="534">
        <f t="shared" si="24"/>
        <v>11.048956156325426</v>
      </c>
      <c r="F245" s="491"/>
    </row>
    <row r="246" spans="1:9" ht="16.899999999999999" customHeight="1" x14ac:dyDescent="0.2"/>
    <row r="247" spans="1:9" ht="18.75" thickBot="1" x14ac:dyDescent="0.25">
      <c r="A247" s="723" t="str">
        <f>IF(MIN(E230:E233,D242:D245)&gt;=1, "NO POSTING RECOMMENDED", "RECOMMENDED BRIDGE LOAD POSTING SIGN")</f>
        <v>RECOMMENDED BRIDGE LOAD POSTING SIGN</v>
      </c>
      <c r="B247" s="723"/>
      <c r="C247" s="723"/>
      <c r="D247" s="723"/>
      <c r="E247" s="723"/>
      <c r="F247" s="723"/>
      <c r="G247" s="723"/>
      <c r="H247" s="513"/>
      <c r="I247" s="512"/>
    </row>
    <row r="248" spans="1:9" ht="22.5" x14ac:dyDescent="0.2">
      <c r="A248"/>
      <c r="B248" s="514"/>
      <c r="C248" s="724" t="s">
        <v>377</v>
      </c>
      <c r="D248" s="725"/>
      <c r="E248"/>
      <c r="F248"/>
      <c r="G248"/>
      <c r="H248"/>
      <c r="I248" s="512"/>
    </row>
    <row r="249" spans="1:9" ht="15.75" x14ac:dyDescent="0.2">
      <c r="A249"/>
      <c r="B249"/>
      <c r="C249" s="515" t="s">
        <v>400</v>
      </c>
      <c r="D249" s="516"/>
      <c r="E249"/>
      <c r="F249"/>
      <c r="G249"/>
      <c r="H249"/>
      <c r="I249" s="512"/>
    </row>
    <row r="250" spans="1:9" ht="15.75" x14ac:dyDescent="0.2">
      <c r="A250"/>
      <c r="B250"/>
      <c r="C250" s="515" t="s">
        <v>404</v>
      </c>
      <c r="D250" s="517">
        <f>IF(MIN(E230:E233,D242:D245)&gt;=1, "", IF(E230&gt;=1,C230,F230))</f>
        <v>7.1283588105325331</v>
      </c>
      <c r="E250"/>
      <c r="F250"/>
      <c r="G250"/>
      <c r="H250"/>
      <c r="I250" s="512"/>
    </row>
    <row r="251" spans="1:9" ht="15.75" x14ac:dyDescent="0.2">
      <c r="A251"/>
      <c r="B251"/>
      <c r="C251" s="515" t="s">
        <v>395</v>
      </c>
      <c r="D251" s="517">
        <f>+F231</f>
        <v>10.549971039588149</v>
      </c>
      <c r="E251"/>
      <c r="F251"/>
      <c r="G251"/>
      <c r="H251"/>
      <c r="I251" s="512"/>
    </row>
    <row r="252" spans="1:9" ht="15.75" x14ac:dyDescent="0.2">
      <c r="A252"/>
      <c r="B252"/>
      <c r="C252" s="515" t="s">
        <v>396</v>
      </c>
      <c r="D252" s="517">
        <f>+F232</f>
        <v>12.260777154115956</v>
      </c>
      <c r="E252"/>
      <c r="F252"/>
      <c r="G252"/>
      <c r="H252"/>
      <c r="I252" s="512"/>
    </row>
    <row r="253" spans="1:9" ht="15.75" x14ac:dyDescent="0.2">
      <c r="A253"/>
      <c r="B253"/>
      <c r="C253" s="515"/>
      <c r="D253" s="517"/>
      <c r="E253"/>
      <c r="F253" s="1"/>
      <c r="G253"/>
      <c r="H253"/>
      <c r="I253" s="512"/>
    </row>
    <row r="254" spans="1:9" ht="16.5" thickBot="1" x14ac:dyDescent="0.25">
      <c r="A254"/>
      <c r="B254"/>
      <c r="C254" s="518"/>
      <c r="D254" s="519"/>
      <c r="E254"/>
      <c r="F254" s="1"/>
      <c r="G254"/>
      <c r="H254"/>
      <c r="I254" s="512"/>
    </row>
  </sheetData>
  <mergeCells count="104">
    <mergeCell ref="B48:C48"/>
    <mergeCell ref="F61:H61"/>
    <mergeCell ref="F62:H62"/>
    <mergeCell ref="B67:D67"/>
    <mergeCell ref="C83:E83"/>
    <mergeCell ref="B49:C49"/>
    <mergeCell ref="B50:C50"/>
    <mergeCell ref="C240:C241"/>
    <mergeCell ref="B226:F226"/>
    <mergeCell ref="B227:B228"/>
    <mergeCell ref="D227:E227"/>
    <mergeCell ref="F227:F228"/>
    <mergeCell ref="B234:F234"/>
    <mergeCell ref="B235:F235"/>
    <mergeCell ref="B236:F236"/>
    <mergeCell ref="B237:F237"/>
    <mergeCell ref="B239:E239"/>
    <mergeCell ref="B240:B241"/>
    <mergeCell ref="E240:E241"/>
    <mergeCell ref="B65:D65"/>
    <mergeCell ref="B64:D64"/>
    <mergeCell ref="B60:D60"/>
    <mergeCell ref="B51:F51"/>
    <mergeCell ref="B68:D68"/>
    <mergeCell ref="C227:C228"/>
    <mergeCell ref="A179:G179"/>
    <mergeCell ref="A174:G174"/>
    <mergeCell ref="A176:G176"/>
    <mergeCell ref="A173:G173"/>
    <mergeCell ref="A177:G177"/>
    <mergeCell ref="B90:B91"/>
    <mergeCell ref="B96:B97"/>
    <mergeCell ref="A175:G175"/>
    <mergeCell ref="A178:G178"/>
    <mergeCell ref="C96:D96"/>
    <mergeCell ref="C97:D97"/>
    <mergeCell ref="C107:H107"/>
    <mergeCell ref="C153:H153"/>
    <mergeCell ref="B135:C135"/>
    <mergeCell ref="A115:G124"/>
    <mergeCell ref="E105:F105"/>
    <mergeCell ref="D106:F106"/>
    <mergeCell ref="A213:C213"/>
    <mergeCell ref="B216:C216"/>
    <mergeCell ref="A101:C101"/>
    <mergeCell ref="A102:C102"/>
    <mergeCell ref="C84:E84"/>
    <mergeCell ref="B61:D61"/>
    <mergeCell ref="A182:G182"/>
    <mergeCell ref="A205:C205"/>
    <mergeCell ref="B196:H196"/>
    <mergeCell ref="A193:H193"/>
    <mergeCell ref="B134:C134"/>
    <mergeCell ref="A125:G125"/>
    <mergeCell ref="A57:B57"/>
    <mergeCell ref="C85:E85"/>
    <mergeCell ref="B83:B85"/>
    <mergeCell ref="B66:D66"/>
    <mergeCell ref="B63:D63"/>
    <mergeCell ref="B58:E58"/>
    <mergeCell ref="B59:E59"/>
    <mergeCell ref="A103:C103"/>
    <mergeCell ref="A172:H172"/>
    <mergeCell ref="A35:B35"/>
    <mergeCell ref="A32:C32"/>
    <mergeCell ref="B42:D42"/>
    <mergeCell ref="B40:D40"/>
    <mergeCell ref="B45:C45"/>
    <mergeCell ref="A7:G7"/>
    <mergeCell ref="A9:G9"/>
    <mergeCell ref="D2:G2"/>
    <mergeCell ref="F4:G4"/>
    <mergeCell ref="F5:G5"/>
    <mergeCell ref="C22:E22"/>
    <mergeCell ref="C23:E23"/>
    <mergeCell ref="B24:F25"/>
    <mergeCell ref="A17:H17"/>
    <mergeCell ref="A15:H16"/>
    <mergeCell ref="D34:H34"/>
    <mergeCell ref="D3:H3"/>
    <mergeCell ref="A247:G247"/>
    <mergeCell ref="C248:D248"/>
    <mergeCell ref="A106:C106"/>
    <mergeCell ref="C98:H98"/>
    <mergeCell ref="A180:H180"/>
    <mergeCell ref="D49:G50"/>
    <mergeCell ref="B62:D62"/>
    <mergeCell ref="A8:H8"/>
    <mergeCell ref="B46:C46"/>
    <mergeCell ref="B47:C47"/>
    <mergeCell ref="E32:G33"/>
    <mergeCell ref="B41:D41"/>
    <mergeCell ref="A11:B11"/>
    <mergeCell ref="A12:F12"/>
    <mergeCell ref="A13:F13"/>
    <mergeCell ref="A14:F14"/>
    <mergeCell ref="B21:B23"/>
    <mergeCell ref="C27:D27"/>
    <mergeCell ref="A29:B29"/>
    <mergeCell ref="C29:F29"/>
    <mergeCell ref="A31:C31"/>
    <mergeCell ref="C19:E19"/>
    <mergeCell ref="C21:E21"/>
    <mergeCell ref="C39:E39"/>
  </mergeCells>
  <pageMargins left="0.7" right="0.7" top="0.75" bottom="0.75" header="0.3" footer="0.3"/>
  <pageSetup firstPageNumber="4" orientation="portrait" useFirstPageNumber="1" r:id="rId1"/>
  <headerFooter>
    <oddFooter>&amp;LRevised by ODOT 5/2016&amp;CPage &amp;P of 10</oddFooter>
  </headerFooter>
  <drawing r:id="rId2"/>
  <legacyDrawing r:id="rId3"/>
  <oleObjects>
    <mc:AlternateContent xmlns:mc="http://schemas.openxmlformats.org/markup-compatibility/2006">
      <mc:Choice Requires="x14">
        <oleObject progId="Equation.3" shapeId="11274" r:id="rId4">
          <objectPr defaultSize="0" autoPict="0" r:id="rId5">
            <anchor moveWithCells="1">
              <from>
                <xdr:col>1</xdr:col>
                <xdr:colOff>85725</xdr:colOff>
                <xdr:row>70</xdr:row>
                <xdr:rowOff>95250</xdr:rowOff>
              </from>
              <to>
                <xdr:col>3</xdr:col>
                <xdr:colOff>247650</xdr:colOff>
                <xdr:row>72</xdr:row>
                <xdr:rowOff>104775</xdr:rowOff>
              </to>
            </anchor>
          </objectPr>
        </oleObject>
      </mc:Choice>
      <mc:Fallback>
        <oleObject progId="Equation.3" shapeId="11274" r:id="rId4"/>
      </mc:Fallback>
    </mc:AlternateContent>
    <mc:AlternateContent xmlns:mc="http://schemas.openxmlformats.org/markup-compatibility/2006">
      <mc:Choice Requires="x14">
        <oleObject progId="Equation.3" shapeId="11275" r:id="rId6">
          <objectPr defaultSize="0" autoPict="0" r:id="rId7">
            <anchor moveWithCells="1">
              <from>
                <xdr:col>1</xdr:col>
                <xdr:colOff>28575</xdr:colOff>
                <xdr:row>72</xdr:row>
                <xdr:rowOff>95250</xdr:rowOff>
              </from>
              <to>
                <xdr:col>3</xdr:col>
                <xdr:colOff>142875</xdr:colOff>
                <xdr:row>74</xdr:row>
                <xdr:rowOff>76200</xdr:rowOff>
              </to>
            </anchor>
          </objectPr>
        </oleObject>
      </mc:Choice>
      <mc:Fallback>
        <oleObject progId="Equation.3" shapeId="11275" r:id="rId6"/>
      </mc:Fallback>
    </mc:AlternateContent>
    <mc:AlternateContent xmlns:mc="http://schemas.openxmlformats.org/markup-compatibility/2006">
      <mc:Choice Requires="x14">
        <oleObject progId="Equation.3" shapeId="11278" r:id="rId8">
          <objectPr defaultSize="0" autoPict="0" r:id="rId9">
            <anchor moveWithCells="1">
              <from>
                <xdr:col>3</xdr:col>
                <xdr:colOff>819150</xdr:colOff>
                <xdr:row>74</xdr:row>
                <xdr:rowOff>114300</xdr:rowOff>
              </from>
              <to>
                <xdr:col>5</xdr:col>
                <xdr:colOff>114300</xdr:colOff>
                <xdr:row>76</xdr:row>
                <xdr:rowOff>57150</xdr:rowOff>
              </to>
            </anchor>
          </objectPr>
        </oleObject>
      </mc:Choice>
      <mc:Fallback>
        <oleObject progId="Equation.3" shapeId="11278" r:id="rId8"/>
      </mc:Fallback>
    </mc:AlternateContent>
    <mc:AlternateContent xmlns:mc="http://schemas.openxmlformats.org/markup-compatibility/2006">
      <mc:Choice Requires="x14">
        <oleObject progId="Equation.3" shapeId="11343" r:id="rId10">
          <objectPr defaultSize="0" autoPict="0" r:id="rId11">
            <anchor moveWithCells="1">
              <from>
                <xdr:col>1</xdr:col>
                <xdr:colOff>9525</xdr:colOff>
                <xdr:row>183</xdr:row>
                <xdr:rowOff>219075</xdr:rowOff>
              </from>
              <to>
                <xdr:col>2</xdr:col>
                <xdr:colOff>523875</xdr:colOff>
                <xdr:row>185</xdr:row>
                <xdr:rowOff>152400</xdr:rowOff>
              </to>
            </anchor>
          </objectPr>
        </oleObject>
      </mc:Choice>
      <mc:Fallback>
        <oleObject progId="Equation.3" shapeId="11343" r:id="rId10"/>
      </mc:Fallback>
    </mc:AlternateContent>
    <mc:AlternateContent xmlns:mc="http://schemas.openxmlformats.org/markup-compatibility/2006">
      <mc:Choice Requires="x14">
        <oleObject progId="Equation.3" shapeId="11344" r:id="rId12">
          <objectPr defaultSize="0" autoPict="0" r:id="rId13">
            <anchor moveWithCells="1">
              <from>
                <xdr:col>1</xdr:col>
                <xdr:colOff>114300</xdr:colOff>
                <xdr:row>187</xdr:row>
                <xdr:rowOff>0</xdr:rowOff>
              </from>
              <to>
                <xdr:col>2</xdr:col>
                <xdr:colOff>28575</xdr:colOff>
                <xdr:row>189</xdr:row>
                <xdr:rowOff>0</xdr:rowOff>
              </to>
            </anchor>
          </objectPr>
        </oleObject>
      </mc:Choice>
      <mc:Fallback>
        <oleObject progId="Equation.3" shapeId="11344" r:id="rId12"/>
      </mc:Fallback>
    </mc:AlternateContent>
    <mc:AlternateContent xmlns:mc="http://schemas.openxmlformats.org/markup-compatibility/2006">
      <mc:Choice Requires="x14">
        <oleObject progId="Equation.3" shapeId="11345" r:id="rId14">
          <objectPr defaultSize="0" autoPict="0" r:id="rId15">
            <anchor moveWithCells="1">
              <from>
                <xdr:col>1</xdr:col>
                <xdr:colOff>771525</xdr:colOff>
                <xdr:row>189</xdr:row>
                <xdr:rowOff>19050</xdr:rowOff>
              </from>
              <to>
                <xdr:col>3</xdr:col>
                <xdr:colOff>390525</xdr:colOff>
                <xdr:row>190</xdr:row>
                <xdr:rowOff>19050</xdr:rowOff>
              </to>
            </anchor>
          </objectPr>
        </oleObject>
      </mc:Choice>
      <mc:Fallback>
        <oleObject progId="Equation.3" shapeId="11345" r:id="rId14"/>
      </mc:Fallback>
    </mc:AlternateContent>
    <mc:AlternateContent xmlns:mc="http://schemas.openxmlformats.org/markup-compatibility/2006">
      <mc:Choice Requires="x14">
        <oleObject progId="Equation.3" shapeId="11348" r:id="rId16">
          <objectPr defaultSize="0" autoPict="0" r:id="rId17">
            <anchor moveWithCells="1">
              <from>
                <xdr:col>1</xdr:col>
                <xdr:colOff>57150</xdr:colOff>
                <xdr:row>209</xdr:row>
                <xdr:rowOff>190500</xdr:rowOff>
              </from>
              <to>
                <xdr:col>1</xdr:col>
                <xdr:colOff>1057275</xdr:colOff>
                <xdr:row>211</xdr:row>
                <xdr:rowOff>142875</xdr:rowOff>
              </to>
            </anchor>
          </objectPr>
        </oleObject>
      </mc:Choice>
      <mc:Fallback>
        <oleObject progId="Equation.3" shapeId="11348" r:id="rId16"/>
      </mc:Fallback>
    </mc:AlternateContent>
    <mc:AlternateContent xmlns:mc="http://schemas.openxmlformats.org/markup-compatibility/2006">
      <mc:Choice Requires="x14">
        <oleObject progId="Equation.3" shapeId="11349" r:id="rId18">
          <objectPr defaultSize="0" autoPict="0" r:id="rId19">
            <anchor moveWithCells="1">
              <from>
                <xdr:col>0</xdr:col>
                <xdr:colOff>866775</xdr:colOff>
                <xdr:row>207</xdr:row>
                <xdr:rowOff>9525</xdr:rowOff>
              </from>
              <to>
                <xdr:col>2</xdr:col>
                <xdr:colOff>476250</xdr:colOff>
                <xdr:row>209</xdr:row>
                <xdr:rowOff>19050</xdr:rowOff>
              </to>
            </anchor>
          </objectPr>
        </oleObject>
      </mc:Choice>
      <mc:Fallback>
        <oleObject progId="Equation.3" shapeId="11349" r:id="rId1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6"/>
  <sheetViews>
    <sheetView showGridLines="0" zoomScaleNormal="100" workbookViewId="0"/>
  </sheetViews>
  <sheetFormatPr defaultColWidth="8.85546875" defaultRowHeight="15" x14ac:dyDescent="0.2"/>
  <cols>
    <col min="1" max="1" width="11.28515625" style="77" customWidth="1"/>
    <col min="2" max="2" width="13.85546875" style="83" customWidth="1"/>
    <col min="3" max="3" width="47.28515625" style="77" customWidth="1"/>
    <col min="4" max="4" width="18.42578125" style="77" customWidth="1"/>
    <col min="5" max="5" width="10.28515625" style="77" customWidth="1"/>
    <col min="6" max="6" width="15.42578125" style="77" customWidth="1"/>
    <col min="7" max="16384" width="8.85546875" style="77"/>
  </cols>
  <sheetData>
    <row r="1" spans="2:8" x14ac:dyDescent="0.2">
      <c r="D1" s="169" t="s">
        <v>1</v>
      </c>
      <c r="E1" s="170" t="s">
        <v>178</v>
      </c>
    </row>
    <row r="2" spans="2:8" ht="14.45" customHeight="1" x14ac:dyDescent="0.2">
      <c r="B2" s="833" t="s">
        <v>36</v>
      </c>
      <c r="C2" s="86" t="s">
        <v>0</v>
      </c>
      <c r="D2" s="171">
        <f>MAX('CMP LRFR output'!D31/8,1)</f>
        <v>1.9275</v>
      </c>
    </row>
    <row r="3" spans="2:8" ht="14.45" customHeight="1" x14ac:dyDescent="0.2">
      <c r="B3" s="833"/>
      <c r="C3" s="86" t="s">
        <v>179</v>
      </c>
      <c r="D3" s="171">
        <f>MAX('CMP LRFR output'!D31/4,1)</f>
        <v>3.855</v>
      </c>
      <c r="G3" s="160"/>
      <c r="H3" s="160"/>
    </row>
    <row r="4" spans="2:8" ht="14.45" customHeight="1" x14ac:dyDescent="0.2">
      <c r="B4" s="833"/>
      <c r="C4" s="86" t="s">
        <v>180</v>
      </c>
      <c r="D4" s="171">
        <f>IF('CMP LRFR output'!D31*12&lt;=48,MAX('CMP LRFR output'!D31/2,1),MAX('CMP LRFR output'!D31/2.75,2))</f>
        <v>5.6072727272727274</v>
      </c>
    </row>
    <row r="5" spans="2:8" ht="14.45" customHeight="1" x14ac:dyDescent="0.2">
      <c r="B5" s="833"/>
      <c r="C5" s="86" t="s">
        <v>181</v>
      </c>
      <c r="D5" s="171">
        <f>MAX('CMP LRFR output'!D31/8,1)</f>
        <v>1.9275</v>
      </c>
    </row>
    <row r="6" spans="2:8" ht="14.45" customHeight="1" x14ac:dyDescent="0.2">
      <c r="B6" s="833"/>
      <c r="C6" s="86" t="s">
        <v>182</v>
      </c>
      <c r="D6" s="171" t="str">
        <f>IF('CMP Input'!D36="Long Span Structural Plate",VLOOKUP('CMP LRFR output'!B49,B22:C28,2, FALSE),"-")</f>
        <v>-</v>
      </c>
    </row>
    <row r="7" spans="2:8" ht="14.45" customHeight="1" x14ac:dyDescent="0.2">
      <c r="B7" s="177"/>
      <c r="C7" s="184"/>
      <c r="D7" s="185"/>
    </row>
    <row r="8" spans="2:8" ht="14.45" customHeight="1" x14ac:dyDescent="0.2">
      <c r="B8" s="834" t="s">
        <v>93</v>
      </c>
      <c r="C8" s="86" t="s">
        <v>94</v>
      </c>
      <c r="D8" s="185"/>
    </row>
    <row r="9" spans="2:8" ht="14.45" customHeight="1" x14ac:dyDescent="0.2">
      <c r="B9" s="835"/>
      <c r="C9" s="86" t="s">
        <v>95</v>
      </c>
      <c r="D9" s="185"/>
      <c r="G9" s="160"/>
      <c r="H9" s="160"/>
    </row>
    <row r="10" spans="2:8" ht="14.45" customHeight="1" x14ac:dyDescent="0.2">
      <c r="B10" s="177"/>
      <c r="C10" s="184"/>
      <c r="D10" s="185"/>
    </row>
    <row r="11" spans="2:8" ht="14.45" customHeight="1" x14ac:dyDescent="0.2">
      <c r="B11" s="842" t="s">
        <v>96</v>
      </c>
      <c r="C11" s="93" t="s">
        <v>99</v>
      </c>
      <c r="D11" s="185"/>
    </row>
    <row r="12" spans="2:8" ht="14.45" customHeight="1" x14ac:dyDescent="0.2">
      <c r="B12" s="843"/>
      <c r="C12" s="94" t="s">
        <v>100</v>
      </c>
      <c r="D12" s="185"/>
    </row>
    <row r="13" spans="2:8" ht="14.45" customHeight="1" x14ac:dyDescent="0.2">
      <c r="B13" s="844"/>
      <c r="C13" s="94" t="s">
        <v>101</v>
      </c>
      <c r="D13" s="185"/>
    </row>
    <row r="14" spans="2:8" ht="14.45" customHeight="1" x14ac:dyDescent="0.2">
      <c r="B14" s="177"/>
      <c r="C14" s="184"/>
      <c r="D14" s="185"/>
    </row>
    <row r="15" spans="2:8" ht="12.75" x14ac:dyDescent="0.2">
      <c r="B15" s="172" t="s">
        <v>183</v>
      </c>
      <c r="C15" s="178"/>
    </row>
    <row r="16" spans="2:8" ht="15" customHeight="1" x14ac:dyDescent="0.2">
      <c r="B16" s="177"/>
      <c r="C16" s="181" t="s">
        <v>87</v>
      </c>
    </row>
    <row r="17" spans="2:7" ht="15" customHeight="1" x14ac:dyDescent="0.2">
      <c r="B17" s="177" t="s">
        <v>88</v>
      </c>
      <c r="C17" s="180">
        <f>IF(C21="&lt;= 15'",0.111,IF(C21="15'-17'",0.14,IF(C21="17'-20'",0.17,IF(C21="20'-23'",0.218,IF(C21="23'-25'",0.249,"-")))))</f>
        <v>0.111</v>
      </c>
      <c r="D17" s="157" t="s">
        <v>89</v>
      </c>
    </row>
    <row r="18" spans="2:7" ht="15" customHeight="1" x14ac:dyDescent="0.2">
      <c r="B18" s="177"/>
      <c r="C18" s="178"/>
    </row>
    <row r="19" spans="2:7" ht="15" customHeight="1" x14ac:dyDescent="0.2">
      <c r="B19" s="172" t="s">
        <v>184</v>
      </c>
      <c r="C19" s="178"/>
    </row>
    <row r="20" spans="2:7" ht="15" customHeight="1" x14ac:dyDescent="0.2">
      <c r="B20" s="173" t="s">
        <v>83</v>
      </c>
      <c r="C20" s="174">
        <f>'CMP LRFR output'!D32</f>
        <v>7.25</v>
      </c>
      <c r="D20" s="157" t="s">
        <v>27</v>
      </c>
    </row>
    <row r="21" spans="2:7" ht="15" customHeight="1" x14ac:dyDescent="0.2">
      <c r="B21" s="175" t="s">
        <v>2</v>
      </c>
      <c r="C21" s="175" t="str">
        <f>IF(C20&lt;=15,"&lt;= 15'", IF(C20&lt;17,"15'-17'",IF(C20&lt;20,"17'-20'",IF(C20&lt;23,"20'-23'",IF(C20&lt;25, "23'-25'", IF(C20&gt;25, "&gt;25'"))))))</f>
        <v>&lt;= 15'</v>
      </c>
      <c r="D21" s="262" t="s">
        <v>84</v>
      </c>
    </row>
    <row r="22" spans="2:7" ht="15" customHeight="1" x14ac:dyDescent="0.2">
      <c r="B22" s="176">
        <v>0.111</v>
      </c>
      <c r="C22" s="171">
        <f>IF(C21="&lt;= 15'",2.5,"-")</f>
        <v>2.5</v>
      </c>
    </row>
    <row r="23" spans="2:7" ht="15" customHeight="1" x14ac:dyDescent="0.2">
      <c r="B23" s="176">
        <v>0.14000000000000001</v>
      </c>
      <c r="C23" s="171">
        <f>IF(C21="&lt;= 15'",2.5,IF(C21="15'-17'",3, "-"))</f>
        <v>2.5</v>
      </c>
    </row>
    <row r="24" spans="2:7" ht="15" customHeight="1" x14ac:dyDescent="0.2">
      <c r="B24" s="176">
        <v>0.17</v>
      </c>
      <c r="C24" s="171">
        <f>IF(C21="&lt;= 15'",2.5,IF(C21="15'-17'",3,IF(C21="17'-20'",3,"-")))</f>
        <v>2.5</v>
      </c>
    </row>
    <row r="25" spans="2:7" ht="15" customHeight="1" x14ac:dyDescent="0.2">
      <c r="B25" s="176">
        <v>0.188</v>
      </c>
      <c r="C25" s="171">
        <f>IF(C21="&lt;= 15'",2.5,IF(C21="15'-17'",3,IF(C21="17'-20'",3,"-")))</f>
        <v>2.5</v>
      </c>
      <c r="F25" s="261"/>
      <c r="G25" s="185"/>
    </row>
    <row r="26" spans="2:7" ht="15" customHeight="1" x14ac:dyDescent="0.2">
      <c r="B26" s="176">
        <v>0.218</v>
      </c>
      <c r="C26" s="171">
        <f>IF(C21="&lt;= 15'",2,IF(C21="15'-17'",2.5,IF(C21="17'-20'",2.5,IF(C21="20'-23'",3,"-"))))</f>
        <v>2</v>
      </c>
      <c r="F26" s="261"/>
      <c r="G26" s="185"/>
    </row>
    <row r="27" spans="2:7" ht="15" customHeight="1" x14ac:dyDescent="0.2">
      <c r="B27" s="176">
        <v>0.249</v>
      </c>
      <c r="C27" s="171">
        <f>IF(C21="&lt;= 15'",2,IF(C21="15'-17'",2,IF(C21="17'-20'",2.5,IF(C21="20'-23'",3,IF(C21="23'-25'",4,"-")))))</f>
        <v>2</v>
      </c>
      <c r="F27" s="261"/>
      <c r="G27" s="185"/>
    </row>
    <row r="28" spans="2:7" ht="15" customHeight="1" x14ac:dyDescent="0.2">
      <c r="B28" s="176">
        <v>0.28000000000000003</v>
      </c>
      <c r="C28" s="171">
        <f>IF(C21="&lt;= 15'",2,IF(C21="15'-17'",2,IF(C21="17'-20'",2.5,IF(C21="20'-23'",3,IF(C21="23'-25'",4,"-")))))</f>
        <v>2</v>
      </c>
      <c r="F28" s="261"/>
      <c r="G28" s="185"/>
    </row>
    <row r="29" spans="2:7" ht="15" customHeight="1" x14ac:dyDescent="0.2">
      <c r="B29" s="177"/>
      <c r="C29" s="178"/>
      <c r="F29" s="261"/>
      <c r="G29" s="185"/>
    </row>
    <row r="30" spans="2:7" ht="15" customHeight="1" x14ac:dyDescent="0.2">
      <c r="B30" s="256"/>
    </row>
    <row r="31" spans="2:7" ht="14.45" customHeight="1" x14ac:dyDescent="0.2">
      <c r="C31" s="317" t="s">
        <v>186</v>
      </c>
      <c r="D31" s="179" t="s">
        <v>85</v>
      </c>
      <c r="E31" s="179" t="s">
        <v>86</v>
      </c>
      <c r="F31" s="175" t="s">
        <v>31</v>
      </c>
    </row>
    <row r="32" spans="2:7" ht="12" x14ac:dyDescent="0.2">
      <c r="B32" s="839" t="s">
        <v>30</v>
      </c>
      <c r="C32" s="46" t="s">
        <v>24</v>
      </c>
      <c r="D32" s="78">
        <v>45</v>
      </c>
      <c r="E32" s="78">
        <v>33</v>
      </c>
      <c r="F32" s="78">
        <v>29000</v>
      </c>
    </row>
    <row r="33" spans="2:6" ht="12" x14ac:dyDescent="0.2">
      <c r="B33" s="840"/>
      <c r="C33" s="158" t="s">
        <v>66</v>
      </c>
      <c r="D33" s="78">
        <v>35</v>
      </c>
      <c r="E33" s="78">
        <v>24</v>
      </c>
      <c r="F33" s="78">
        <v>10000</v>
      </c>
    </row>
    <row r="34" spans="2:6" ht="12" x14ac:dyDescent="0.2">
      <c r="B34" s="840"/>
      <c r="C34" s="158" t="s">
        <v>67</v>
      </c>
      <c r="D34" s="78">
        <v>34</v>
      </c>
      <c r="E34" s="78">
        <v>24</v>
      </c>
      <c r="F34" s="78">
        <v>10000</v>
      </c>
    </row>
    <row r="35" spans="2:6" ht="12" x14ac:dyDescent="0.2">
      <c r="B35" s="840"/>
      <c r="C35" s="79" t="s">
        <v>28</v>
      </c>
      <c r="D35" s="78">
        <v>31</v>
      </c>
      <c r="E35" s="78">
        <v>24</v>
      </c>
      <c r="F35" s="78">
        <v>10000</v>
      </c>
    </row>
    <row r="36" spans="2:6" ht="12" x14ac:dyDescent="0.2">
      <c r="B36" s="841"/>
      <c r="C36" s="79" t="s">
        <v>29</v>
      </c>
      <c r="D36" s="78">
        <v>27</v>
      </c>
      <c r="E36" s="78">
        <v>20</v>
      </c>
      <c r="F36" s="78">
        <v>10000</v>
      </c>
    </row>
    <row r="37" spans="2:6" ht="27" customHeight="1" x14ac:dyDescent="0.2"/>
    <row r="38" spans="2:6" ht="21.6" customHeight="1" x14ac:dyDescent="0.2">
      <c r="B38" s="58" t="s">
        <v>23</v>
      </c>
      <c r="C38" s="58" t="s">
        <v>22</v>
      </c>
    </row>
    <row r="39" spans="2:6" ht="12.75" x14ac:dyDescent="0.2">
      <c r="B39" s="56">
        <v>16</v>
      </c>
      <c r="C39" s="54">
        <v>6.4000000000000001E-2</v>
      </c>
    </row>
    <row r="40" spans="2:6" ht="12.75" x14ac:dyDescent="0.2">
      <c r="B40" s="56">
        <v>14</v>
      </c>
      <c r="C40" s="54">
        <v>7.9000000000000001E-2</v>
      </c>
    </row>
    <row r="41" spans="2:6" ht="12.75" x14ac:dyDescent="0.2">
      <c r="B41" s="56">
        <v>12</v>
      </c>
      <c r="C41" s="54">
        <v>0.111</v>
      </c>
    </row>
    <row r="42" spans="2:6" ht="12.75" x14ac:dyDescent="0.2">
      <c r="B42" s="56">
        <v>10</v>
      </c>
      <c r="C42" s="54">
        <v>0.14000000000000001</v>
      </c>
    </row>
    <row r="43" spans="2:6" ht="12.75" x14ac:dyDescent="0.2">
      <c r="B43" s="56">
        <v>8</v>
      </c>
      <c r="C43" s="54">
        <v>0.17</v>
      </c>
    </row>
    <row r="44" spans="2:6" ht="12.75" x14ac:dyDescent="0.2">
      <c r="B44" s="56">
        <v>7</v>
      </c>
      <c r="C44" s="54">
        <v>0.188</v>
      </c>
    </row>
    <row r="45" spans="2:6" ht="12.75" x14ac:dyDescent="0.2">
      <c r="B45" s="56">
        <v>5</v>
      </c>
      <c r="C45" s="54">
        <v>0.218</v>
      </c>
      <c r="E45" s="77" t="s">
        <v>13</v>
      </c>
    </row>
    <row r="46" spans="2:6" ht="12.75" x14ac:dyDescent="0.2">
      <c r="B46" s="57">
        <v>3</v>
      </c>
      <c r="C46" s="55">
        <v>0.249</v>
      </c>
    </row>
    <row r="47" spans="2:6" ht="12.75" x14ac:dyDescent="0.2">
      <c r="B47" s="57">
        <v>1</v>
      </c>
      <c r="C47" s="55">
        <v>0.28000000000000003</v>
      </c>
    </row>
    <row r="48" spans="2:6" ht="12.75" x14ac:dyDescent="0.2">
      <c r="B48" s="59" t="s">
        <v>5</v>
      </c>
      <c r="C48" s="153">
        <f>'CMP Input'!E50</f>
        <v>0</v>
      </c>
      <c r="D48" s="45" t="s">
        <v>56</v>
      </c>
    </row>
    <row r="49" spans="2:3" ht="12.75" x14ac:dyDescent="0.2">
      <c r="B49" s="11"/>
      <c r="C49" s="88"/>
    </row>
    <row r="50" spans="2:3" ht="12.75" x14ac:dyDescent="0.2">
      <c r="B50" s="11"/>
      <c r="C50" s="88"/>
    </row>
    <row r="51" spans="2:3" ht="18.75" x14ac:dyDescent="0.2">
      <c r="B51" s="836" t="s">
        <v>38</v>
      </c>
      <c r="C51" s="90" t="s">
        <v>39</v>
      </c>
    </row>
    <row r="52" spans="2:3" ht="18.75" x14ac:dyDescent="0.2">
      <c r="B52" s="837"/>
      <c r="C52" s="90" t="s">
        <v>40</v>
      </c>
    </row>
    <row r="53" spans="2:3" ht="18.75" x14ac:dyDescent="0.2">
      <c r="B53" s="837"/>
      <c r="C53" s="90" t="s">
        <v>41</v>
      </c>
    </row>
    <row r="54" spans="2:3" ht="18.75" x14ac:dyDescent="0.2">
      <c r="B54" s="837"/>
      <c r="C54" s="90" t="s">
        <v>42</v>
      </c>
    </row>
    <row r="55" spans="2:3" ht="18.75" x14ac:dyDescent="0.2">
      <c r="B55" s="837"/>
      <c r="C55" s="90" t="s">
        <v>43</v>
      </c>
    </row>
    <row r="56" spans="2:3" ht="18.75" x14ac:dyDescent="0.2">
      <c r="B56" s="837"/>
      <c r="C56" s="91" t="s">
        <v>44</v>
      </c>
    </row>
    <row r="57" spans="2:3" ht="18.75" x14ac:dyDescent="0.2">
      <c r="B57" s="837"/>
      <c r="C57" s="90" t="s">
        <v>45</v>
      </c>
    </row>
    <row r="58" spans="2:3" ht="18.75" x14ac:dyDescent="0.2">
      <c r="B58" s="837"/>
      <c r="C58" s="90" t="s">
        <v>46</v>
      </c>
    </row>
    <row r="59" spans="2:3" ht="18.75" x14ac:dyDescent="0.2">
      <c r="B59" s="837"/>
      <c r="C59" s="90" t="s">
        <v>47</v>
      </c>
    </row>
    <row r="60" spans="2:3" ht="18.75" x14ac:dyDescent="0.2">
      <c r="B60" s="837"/>
      <c r="C60" s="90" t="s">
        <v>48</v>
      </c>
    </row>
    <row r="61" spans="2:3" ht="18.75" x14ac:dyDescent="0.2">
      <c r="B61" s="837"/>
      <c r="C61" s="90" t="s">
        <v>49</v>
      </c>
    </row>
    <row r="62" spans="2:3" ht="18.75" x14ac:dyDescent="0.2">
      <c r="B62" s="837"/>
      <c r="C62" s="90" t="s">
        <v>50</v>
      </c>
    </row>
    <row r="63" spans="2:3" ht="18.75" x14ac:dyDescent="0.2">
      <c r="B63" s="837"/>
      <c r="C63" s="91" t="s">
        <v>51</v>
      </c>
    </row>
    <row r="64" spans="2:3" ht="18.75" x14ac:dyDescent="0.2">
      <c r="B64" s="837"/>
      <c r="C64" s="90" t="s">
        <v>52</v>
      </c>
    </row>
    <row r="65" spans="2:3" ht="15.75" x14ac:dyDescent="0.2">
      <c r="B65" s="838"/>
      <c r="C65" s="90" t="s">
        <v>5</v>
      </c>
    </row>
    <row r="66" spans="2:3" ht="12.75" x14ac:dyDescent="0.2">
      <c r="B66" s="77"/>
      <c r="C66" s="89"/>
    </row>
  </sheetData>
  <mergeCells count="5">
    <mergeCell ref="B2:B6"/>
    <mergeCell ref="B8:B9"/>
    <mergeCell ref="B51:B65"/>
    <mergeCell ref="B32:B36"/>
    <mergeCell ref="B11:B13"/>
  </mergeCells>
  <pageMargins left="0.7" right="0.7" top="0.75" bottom="0.75" header="0.3" footer="0.3"/>
  <pageSetup paperSize="17" scale="98" orientation="landscape" r:id="rId1"/>
  <rowBreaks count="1" manualBreakCount="1">
    <brk id="3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8"/>
  <sheetViews>
    <sheetView showGridLines="0" zoomScaleNormal="100" workbookViewId="0">
      <selection activeCell="G15" sqref="G15"/>
    </sheetView>
  </sheetViews>
  <sheetFormatPr defaultRowHeight="12.75" x14ac:dyDescent="0.2"/>
  <cols>
    <col min="1" max="1" width="6.5703125" customWidth="1"/>
    <col min="2" max="2" width="10.7109375" customWidth="1"/>
    <col min="3" max="3" width="7" customWidth="1"/>
    <col min="4" max="4" width="6.28515625" customWidth="1"/>
    <col min="5" max="5" width="9.85546875" customWidth="1"/>
    <col min="6" max="6" width="6.42578125" customWidth="1"/>
    <col min="7" max="7" width="5.7109375" customWidth="1"/>
    <col min="8" max="8" width="11.85546875" customWidth="1"/>
    <col min="9" max="9" width="7" customWidth="1"/>
    <col min="10" max="10" width="5.7109375" customWidth="1"/>
    <col min="11" max="12" width="9.7109375" customWidth="1"/>
    <col min="13" max="13" width="5.85546875" customWidth="1"/>
    <col min="14" max="14" width="6" customWidth="1"/>
    <col min="15" max="15" width="10.5703125" customWidth="1"/>
    <col min="16" max="16" width="9.7109375" customWidth="1"/>
    <col min="18" max="18" width="9.85546875" customWidth="1"/>
    <col min="19" max="19" width="9.28515625" customWidth="1"/>
    <col min="21" max="21" width="10.28515625" customWidth="1"/>
    <col min="24" max="24" width="11.28515625" customWidth="1"/>
  </cols>
  <sheetData>
    <row r="1" spans="1:24" ht="35.450000000000003" customHeight="1" thickBot="1" x14ac:dyDescent="0.35">
      <c r="A1" s="847" t="s">
        <v>164</v>
      </c>
      <c r="B1" s="848"/>
      <c r="C1" s="849"/>
      <c r="E1" s="312"/>
      <c r="F1" s="312"/>
      <c r="G1" s="312"/>
      <c r="H1" s="312" t="s">
        <v>185</v>
      </c>
      <c r="I1" s="312"/>
      <c r="J1" s="312"/>
      <c r="K1" s="312"/>
      <c r="L1" s="312"/>
      <c r="M1" s="312"/>
      <c r="N1" s="312"/>
      <c r="O1" s="312"/>
      <c r="P1" s="312"/>
      <c r="Q1" s="312"/>
      <c r="R1" s="312"/>
      <c r="S1" s="312"/>
    </row>
    <row r="2" spans="1:24" s="85" customFormat="1" ht="18" customHeight="1" thickBot="1" x14ac:dyDescent="0.25">
      <c r="A2" s="845" t="s">
        <v>24</v>
      </c>
      <c r="B2" s="846"/>
      <c r="C2" s="853" t="s">
        <v>69</v>
      </c>
      <c r="D2" s="854"/>
      <c r="E2" s="855"/>
      <c r="F2" s="853" t="s">
        <v>68</v>
      </c>
      <c r="G2" s="854"/>
      <c r="H2" s="855"/>
      <c r="I2" s="853" t="s">
        <v>70</v>
      </c>
      <c r="J2" s="854"/>
      <c r="K2" s="855"/>
      <c r="L2" s="313"/>
      <c r="M2" s="853" t="s">
        <v>71</v>
      </c>
      <c r="N2" s="854"/>
      <c r="O2" s="855"/>
      <c r="P2" s="853" t="s">
        <v>72</v>
      </c>
      <c r="Q2" s="854"/>
      <c r="R2" s="855"/>
      <c r="S2" s="853" t="s">
        <v>73</v>
      </c>
      <c r="T2" s="854"/>
      <c r="U2" s="855"/>
      <c r="V2" s="853" t="s">
        <v>74</v>
      </c>
      <c r="W2" s="854"/>
      <c r="X2" s="855"/>
    </row>
    <row r="3" spans="1:24" s="101" customFormat="1" ht="19.149999999999999" customHeight="1" thickBot="1" x14ac:dyDescent="0.25">
      <c r="A3" s="163" t="s">
        <v>82</v>
      </c>
      <c r="B3" s="162" t="s">
        <v>21</v>
      </c>
      <c r="C3" s="98" t="s">
        <v>57</v>
      </c>
      <c r="D3" s="99" t="s">
        <v>4</v>
      </c>
      <c r="E3" s="100" t="s">
        <v>58</v>
      </c>
      <c r="F3" s="98" t="s">
        <v>57</v>
      </c>
      <c r="G3" s="99" t="s">
        <v>4</v>
      </c>
      <c r="H3" s="100" t="s">
        <v>58</v>
      </c>
      <c r="I3" s="98" t="s">
        <v>57</v>
      </c>
      <c r="J3" s="99" t="s">
        <v>4</v>
      </c>
      <c r="K3" s="100" t="s">
        <v>58</v>
      </c>
      <c r="L3" s="318"/>
      <c r="M3" s="98" t="s">
        <v>57</v>
      </c>
      <c r="N3" s="99" t="s">
        <v>4</v>
      </c>
      <c r="O3" s="100" t="s">
        <v>58</v>
      </c>
      <c r="P3" s="98" t="s">
        <v>57</v>
      </c>
      <c r="Q3" s="99" t="s">
        <v>4</v>
      </c>
      <c r="R3" s="100" t="s">
        <v>58</v>
      </c>
      <c r="S3" s="98" t="s">
        <v>57</v>
      </c>
      <c r="T3" s="99" t="s">
        <v>4</v>
      </c>
      <c r="U3" s="100" t="s">
        <v>58</v>
      </c>
      <c r="V3" s="98" t="s">
        <v>57</v>
      </c>
      <c r="W3" s="99" t="s">
        <v>4</v>
      </c>
      <c r="X3" s="100" t="s">
        <v>58</v>
      </c>
    </row>
    <row r="4" spans="1:24" x14ac:dyDescent="0.2">
      <c r="A4" s="164"/>
      <c r="B4" s="125">
        <v>2.8000000000000001E-2</v>
      </c>
      <c r="C4" s="66">
        <v>0.30399999999999999</v>
      </c>
      <c r="D4" s="116"/>
      <c r="E4" s="104"/>
      <c r="F4" s="102"/>
      <c r="G4" s="103"/>
      <c r="H4" s="104"/>
      <c r="I4" s="102"/>
      <c r="J4" s="103"/>
      <c r="K4" s="104"/>
      <c r="L4" s="319"/>
      <c r="M4" s="102"/>
      <c r="N4" s="103"/>
      <c r="O4" s="104"/>
      <c r="P4" s="111"/>
      <c r="Q4" s="112"/>
      <c r="R4" s="113"/>
      <c r="S4" s="111"/>
      <c r="T4" s="112"/>
      <c r="U4" s="113"/>
      <c r="V4" s="111"/>
      <c r="W4" s="112"/>
      <c r="X4" s="113"/>
    </row>
    <row r="5" spans="1:24" x14ac:dyDescent="0.2">
      <c r="A5" s="165"/>
      <c r="B5" s="126">
        <v>3.4000000000000002E-2</v>
      </c>
      <c r="C5" s="61">
        <v>0.38</v>
      </c>
      <c r="D5" s="117"/>
      <c r="E5" s="110"/>
      <c r="F5" s="118"/>
      <c r="G5" s="119"/>
      <c r="H5" s="110"/>
      <c r="I5" s="105"/>
      <c r="J5" s="70"/>
      <c r="K5" s="106"/>
      <c r="L5" s="69"/>
      <c r="M5" s="105"/>
      <c r="N5" s="70"/>
      <c r="O5" s="106"/>
      <c r="P5" s="3"/>
      <c r="Q5" s="1"/>
      <c r="R5" s="4"/>
      <c r="S5" s="3"/>
      <c r="T5" s="1"/>
      <c r="U5" s="4"/>
      <c r="V5" s="3"/>
      <c r="W5" s="1"/>
      <c r="X5" s="4"/>
    </row>
    <row r="6" spans="1:24" x14ac:dyDescent="0.2">
      <c r="A6" s="165"/>
      <c r="B6" s="126">
        <v>0.04</v>
      </c>
      <c r="C6" s="61">
        <v>0.45600000000000002</v>
      </c>
      <c r="D6" s="60">
        <v>8.1600000000000006E-2</v>
      </c>
      <c r="E6" s="62">
        <f>0.253</f>
        <v>0.253</v>
      </c>
      <c r="F6" s="61">
        <v>0.46500000000000002</v>
      </c>
      <c r="G6" s="60">
        <v>0.17019999999999999</v>
      </c>
      <c r="H6" s="62">
        <v>1.121</v>
      </c>
      <c r="I6" s="105"/>
      <c r="J6" s="70"/>
      <c r="K6" s="106"/>
      <c r="L6" s="69"/>
      <c r="M6" s="105"/>
      <c r="N6" s="70"/>
      <c r="O6" s="106"/>
      <c r="P6" s="3"/>
      <c r="Q6" s="1"/>
      <c r="R6" s="4"/>
      <c r="S6" s="3"/>
      <c r="T6" s="1"/>
      <c r="U6" s="4"/>
      <c r="V6" s="3"/>
      <c r="W6" s="1"/>
      <c r="X6" s="4"/>
    </row>
    <row r="7" spans="1:24" x14ac:dyDescent="0.2">
      <c r="A7" s="165"/>
      <c r="B7" s="126">
        <v>5.1999999999999998E-2</v>
      </c>
      <c r="C7" s="61">
        <v>0.60799999999999998</v>
      </c>
      <c r="D7" s="60">
        <v>8.2400000000000001E-2</v>
      </c>
      <c r="E7" s="62">
        <v>0.34399999999999997</v>
      </c>
      <c r="F7" s="61">
        <v>0.61899999999999999</v>
      </c>
      <c r="G7" s="60">
        <v>0.17069999999999999</v>
      </c>
      <c r="H7" s="62">
        <v>1.5</v>
      </c>
      <c r="I7" s="118"/>
      <c r="J7" s="119"/>
      <c r="K7" s="110"/>
      <c r="L7" s="320"/>
      <c r="M7" s="118"/>
      <c r="N7" s="119"/>
      <c r="O7" s="110"/>
      <c r="P7" s="132"/>
      <c r="Q7" s="122"/>
      <c r="R7" s="133"/>
      <c r="S7" s="132"/>
      <c r="T7" s="122"/>
      <c r="U7" s="133"/>
      <c r="V7" s="3"/>
      <c r="W7" s="1"/>
      <c r="X7" s="4"/>
    </row>
    <row r="8" spans="1:24" x14ac:dyDescent="0.2">
      <c r="A8" s="167">
        <v>16</v>
      </c>
      <c r="B8" s="126">
        <v>6.4000000000000001E-2</v>
      </c>
      <c r="C8" s="61">
        <v>0.76100000000000001</v>
      </c>
      <c r="D8" s="60">
        <v>8.3199999999999996E-2</v>
      </c>
      <c r="E8" s="62">
        <v>0.439</v>
      </c>
      <c r="F8" s="61">
        <v>0.77500000000000002</v>
      </c>
      <c r="G8" s="60">
        <v>0.17119999999999999</v>
      </c>
      <c r="H8" s="62">
        <v>1.8919999999999999</v>
      </c>
      <c r="I8" s="61">
        <v>0.89</v>
      </c>
      <c r="J8" s="60">
        <v>0.3417</v>
      </c>
      <c r="K8" s="62">
        <v>8.6590000000000007</v>
      </c>
      <c r="L8" s="321"/>
      <c r="M8" s="61">
        <v>0.79400000000000004</v>
      </c>
      <c r="N8" s="60">
        <v>0.36570000000000003</v>
      </c>
      <c r="O8" s="62">
        <v>8.85</v>
      </c>
      <c r="P8" s="61">
        <v>0.50900000000000001</v>
      </c>
      <c r="Q8" s="60">
        <v>0.25800000000000001</v>
      </c>
      <c r="R8" s="62">
        <v>2.8210000000000002</v>
      </c>
      <c r="S8" s="61">
        <v>0.374</v>
      </c>
      <c r="T8" s="60">
        <v>0.38300000000000001</v>
      </c>
      <c r="U8" s="62">
        <v>4.58</v>
      </c>
      <c r="V8" s="3"/>
      <c r="W8" s="1"/>
      <c r="X8" s="4"/>
    </row>
    <row r="9" spans="1:24" x14ac:dyDescent="0.2">
      <c r="A9" s="167">
        <v>14</v>
      </c>
      <c r="B9" s="126">
        <v>7.9000000000000001E-2</v>
      </c>
      <c r="C9" s="61">
        <v>0.95</v>
      </c>
      <c r="D9" s="60">
        <v>8.4599999999999995E-2</v>
      </c>
      <c r="E9" s="62">
        <v>0.56699999999999995</v>
      </c>
      <c r="F9" s="61">
        <v>0.96799999999999997</v>
      </c>
      <c r="G9" s="60">
        <v>0.1721</v>
      </c>
      <c r="H9" s="62">
        <v>2.3919999999999999</v>
      </c>
      <c r="I9" s="61">
        <v>1.113</v>
      </c>
      <c r="J9" s="60">
        <v>0.3427</v>
      </c>
      <c r="K9" s="62">
        <v>10.882999999999999</v>
      </c>
      <c r="L9" s="321"/>
      <c r="M9" s="61">
        <v>0.99199999999999999</v>
      </c>
      <c r="N9" s="60">
        <v>0.36630000000000001</v>
      </c>
      <c r="O9" s="62">
        <v>11.092000000000001</v>
      </c>
      <c r="P9" s="61">
        <v>0.71199999999999997</v>
      </c>
      <c r="Q9" s="60">
        <v>0.25</v>
      </c>
      <c r="R9" s="62">
        <v>3.7010000000000001</v>
      </c>
      <c r="S9" s="61">
        <v>0.52400000000000002</v>
      </c>
      <c r="T9" s="60">
        <v>0.373</v>
      </c>
      <c r="U9" s="62">
        <v>6.08</v>
      </c>
      <c r="V9" s="132"/>
      <c r="W9" s="122"/>
      <c r="X9" s="133"/>
    </row>
    <row r="10" spans="1:24" x14ac:dyDescent="0.2">
      <c r="A10" s="167">
        <v>12</v>
      </c>
      <c r="B10" s="126">
        <v>0.109</v>
      </c>
      <c r="C10" s="61">
        <v>1.331</v>
      </c>
      <c r="D10" s="60">
        <v>8.7900000000000006E-2</v>
      </c>
      <c r="E10" s="62">
        <v>0.85699999999999998</v>
      </c>
      <c r="F10" s="61">
        <v>1.3560000000000001</v>
      </c>
      <c r="G10" s="60">
        <v>0.1741</v>
      </c>
      <c r="H10" s="62">
        <v>3.4249999999999998</v>
      </c>
      <c r="I10" s="61">
        <v>1.56</v>
      </c>
      <c r="J10" s="60">
        <v>0.3448</v>
      </c>
      <c r="K10" s="62">
        <v>15.459</v>
      </c>
      <c r="L10" s="321"/>
      <c r="M10" s="61">
        <v>1.39</v>
      </c>
      <c r="N10" s="60">
        <v>0.36770000000000003</v>
      </c>
      <c r="O10" s="62">
        <v>15.65</v>
      </c>
      <c r="P10" s="61">
        <v>1.1839999999999999</v>
      </c>
      <c r="Q10" s="60">
        <v>0.23699999999999999</v>
      </c>
      <c r="R10" s="62">
        <v>5.5369999999999999</v>
      </c>
      <c r="S10" s="61">
        <v>0.88300000000000001</v>
      </c>
      <c r="T10" s="60">
        <v>0.35499999999999998</v>
      </c>
      <c r="U10" s="62">
        <v>9.26</v>
      </c>
      <c r="V10" s="61">
        <v>1.556</v>
      </c>
      <c r="W10" s="60">
        <v>0.68200000000000005</v>
      </c>
      <c r="X10" s="215">
        <v>60.411000000000001</v>
      </c>
    </row>
    <row r="11" spans="1:24" x14ac:dyDescent="0.2">
      <c r="A11" s="167">
        <v>10</v>
      </c>
      <c r="B11" s="127">
        <v>0.13800000000000001</v>
      </c>
      <c r="C11" s="61">
        <v>1.712</v>
      </c>
      <c r="D11" s="60">
        <v>9.1899999999999996E-2</v>
      </c>
      <c r="E11" s="62">
        <v>1.2050000000000001</v>
      </c>
      <c r="F11" s="61">
        <v>1.744</v>
      </c>
      <c r="G11" s="60">
        <v>0.17660000000000001</v>
      </c>
      <c r="H11" s="62">
        <v>4.5330000000000004</v>
      </c>
      <c r="I11" s="61">
        <v>2.008</v>
      </c>
      <c r="J11" s="60">
        <v>0.34720000000000001</v>
      </c>
      <c r="K11" s="62">
        <v>20.183</v>
      </c>
      <c r="L11" s="321"/>
      <c r="M11" s="61">
        <v>1.788</v>
      </c>
      <c r="N11" s="60">
        <v>0.36930000000000002</v>
      </c>
      <c r="O11" s="62">
        <v>20.317</v>
      </c>
      <c r="P11" s="61">
        <v>1.7170000000000001</v>
      </c>
      <c r="Q11" s="60">
        <v>0.22800000000000001</v>
      </c>
      <c r="R11" s="62">
        <v>7.4329999999999998</v>
      </c>
      <c r="S11" s="130"/>
      <c r="T11" s="131"/>
      <c r="U11" s="120"/>
      <c r="V11" s="61">
        <v>2.0030000000000001</v>
      </c>
      <c r="W11" s="60">
        <v>0.68400000000000005</v>
      </c>
      <c r="X11" s="215">
        <v>78.174999999999997</v>
      </c>
    </row>
    <row r="12" spans="1:24" x14ac:dyDescent="0.2">
      <c r="A12" s="167">
        <v>8</v>
      </c>
      <c r="B12" s="127">
        <v>0.16800000000000001</v>
      </c>
      <c r="C12" s="61">
        <v>2.0979999999999999</v>
      </c>
      <c r="D12" s="60">
        <v>9.6699999999999994E-2</v>
      </c>
      <c r="E12" s="62">
        <v>1.635</v>
      </c>
      <c r="F12" s="61">
        <v>2.133</v>
      </c>
      <c r="G12" s="60">
        <v>0.17949999999999999</v>
      </c>
      <c r="H12" s="62">
        <v>5.7249999999999996</v>
      </c>
      <c r="I12" s="61">
        <v>2.4580000000000002</v>
      </c>
      <c r="J12" s="60">
        <v>0.34989999999999999</v>
      </c>
      <c r="K12" s="62">
        <v>25.091000000000001</v>
      </c>
      <c r="L12" s="321"/>
      <c r="M12" s="61">
        <v>2.1859999999999999</v>
      </c>
      <c r="N12" s="60">
        <v>0.37109999999999999</v>
      </c>
      <c r="O12" s="62">
        <v>25.091999999999999</v>
      </c>
      <c r="P12" s="134"/>
      <c r="Q12" s="135"/>
      <c r="R12" s="136"/>
      <c r="S12" s="3"/>
      <c r="T12" s="1"/>
      <c r="U12" s="4"/>
      <c r="V12" s="61">
        <v>2.4489999999999998</v>
      </c>
      <c r="W12" s="60">
        <v>0.68600000000000005</v>
      </c>
      <c r="X12" s="215">
        <v>96.162999999999997</v>
      </c>
    </row>
    <row r="13" spans="1:24" x14ac:dyDescent="0.2">
      <c r="A13" s="167">
        <v>7</v>
      </c>
      <c r="B13" s="128">
        <v>0.188</v>
      </c>
      <c r="C13" s="130"/>
      <c r="D13" s="131"/>
      <c r="E13" s="120"/>
      <c r="F13" s="130"/>
      <c r="G13" s="131"/>
      <c r="H13" s="120"/>
      <c r="I13" s="130"/>
      <c r="J13" s="131"/>
      <c r="K13" s="120"/>
      <c r="L13" s="322"/>
      <c r="M13" s="130"/>
      <c r="N13" s="131"/>
      <c r="O13" s="120"/>
      <c r="P13" s="3"/>
      <c r="Q13" s="1"/>
      <c r="R13" s="4"/>
      <c r="S13" s="3"/>
      <c r="T13" s="1"/>
      <c r="U13" s="4"/>
      <c r="V13" s="61">
        <v>2.7389999999999999</v>
      </c>
      <c r="W13" s="60">
        <v>0.68799999999999994</v>
      </c>
      <c r="X13" s="215">
        <v>108</v>
      </c>
    </row>
    <row r="14" spans="1:24" x14ac:dyDescent="0.2">
      <c r="A14" s="167">
        <v>5</v>
      </c>
      <c r="B14" s="128">
        <v>0.218</v>
      </c>
      <c r="C14" s="105"/>
      <c r="D14" s="70"/>
      <c r="E14" s="106"/>
      <c r="F14" s="105"/>
      <c r="G14" s="70"/>
      <c r="H14" s="106"/>
      <c r="I14" s="105"/>
      <c r="J14" s="70"/>
      <c r="K14" s="106"/>
      <c r="L14" s="69"/>
      <c r="M14" s="105"/>
      <c r="N14" s="70"/>
      <c r="O14" s="106"/>
      <c r="P14" s="3"/>
      <c r="Q14" s="1"/>
      <c r="R14" s="4"/>
      <c r="S14" s="3"/>
      <c r="T14" s="1"/>
      <c r="U14" s="4"/>
      <c r="V14" s="61">
        <v>3.1989999999999998</v>
      </c>
      <c r="W14" s="60">
        <v>0.69</v>
      </c>
      <c r="X14" s="215">
        <v>126.922</v>
      </c>
    </row>
    <row r="15" spans="1:24" x14ac:dyDescent="0.2">
      <c r="A15" s="168">
        <v>3</v>
      </c>
      <c r="B15" s="128">
        <v>0.249</v>
      </c>
      <c r="C15" s="105"/>
      <c r="D15" s="70"/>
      <c r="E15" s="106"/>
      <c r="F15" s="105"/>
      <c r="G15" s="70"/>
      <c r="H15" s="106"/>
      <c r="I15" s="105"/>
      <c r="J15" s="70"/>
      <c r="K15" s="106"/>
      <c r="L15" s="69"/>
      <c r="M15" s="105"/>
      <c r="N15" s="70"/>
      <c r="O15" s="106"/>
      <c r="P15" s="3"/>
      <c r="Q15" s="1"/>
      <c r="R15" s="4"/>
      <c r="S15" s="3"/>
      <c r="T15" s="1"/>
      <c r="U15" s="4"/>
      <c r="V15" s="61">
        <v>3.65</v>
      </c>
      <c r="W15" s="60">
        <v>0.69199999999999995</v>
      </c>
      <c r="X15" s="215">
        <v>146.172</v>
      </c>
    </row>
    <row r="16" spans="1:24" x14ac:dyDescent="0.2">
      <c r="A16" s="168">
        <v>1</v>
      </c>
      <c r="B16" s="128">
        <v>0.28000000000000003</v>
      </c>
      <c r="C16" s="105"/>
      <c r="D16" s="70"/>
      <c r="E16" s="106"/>
      <c r="F16" s="105"/>
      <c r="G16" s="70"/>
      <c r="H16" s="106"/>
      <c r="I16" s="105"/>
      <c r="J16" s="70"/>
      <c r="K16" s="106"/>
      <c r="L16" s="69"/>
      <c r="M16" s="105"/>
      <c r="N16" s="70"/>
      <c r="O16" s="106"/>
      <c r="P16" s="3"/>
      <c r="Q16" s="1"/>
      <c r="R16" s="4"/>
      <c r="S16" s="3"/>
      <c r="T16" s="1"/>
      <c r="U16" s="4"/>
      <c r="V16" s="61">
        <v>4.1189999999999998</v>
      </c>
      <c r="W16" s="60">
        <v>0.69499999999999995</v>
      </c>
      <c r="X16" s="215">
        <v>165.83600000000001</v>
      </c>
    </row>
    <row r="17" spans="1:24" x14ac:dyDescent="0.2">
      <c r="A17" s="165"/>
      <c r="B17" s="126">
        <v>0.318</v>
      </c>
      <c r="C17" s="105"/>
      <c r="D17" s="70"/>
      <c r="E17" s="106"/>
      <c r="F17" s="105"/>
      <c r="G17" s="70"/>
      <c r="H17" s="106"/>
      <c r="I17" s="105"/>
      <c r="J17" s="70"/>
      <c r="K17" s="106"/>
      <c r="L17" s="69"/>
      <c r="M17" s="105"/>
      <c r="N17" s="70"/>
      <c r="O17" s="106"/>
      <c r="P17" s="3"/>
      <c r="Q17" s="1"/>
      <c r="R17" s="4"/>
      <c r="S17" s="3"/>
      <c r="T17" s="1"/>
      <c r="U17" s="4"/>
      <c r="V17" s="61">
        <v>4.6710000000000003</v>
      </c>
      <c r="W17" s="60">
        <v>0.69799999999999995</v>
      </c>
      <c r="X17" s="215">
        <v>190</v>
      </c>
    </row>
    <row r="18" spans="1:24" ht="13.5" thickBot="1" x14ac:dyDescent="0.25">
      <c r="A18" s="166"/>
      <c r="B18" s="129">
        <v>0.38</v>
      </c>
      <c r="C18" s="107"/>
      <c r="D18" s="108"/>
      <c r="E18" s="109"/>
      <c r="F18" s="107"/>
      <c r="G18" s="108"/>
      <c r="H18" s="109"/>
      <c r="I18" s="107"/>
      <c r="J18" s="108"/>
      <c r="K18" s="109"/>
      <c r="L18" s="323"/>
      <c r="M18" s="107"/>
      <c r="N18" s="108"/>
      <c r="O18" s="109"/>
      <c r="P18" s="114"/>
      <c r="Q18" s="2"/>
      <c r="R18" s="115"/>
      <c r="S18" s="114"/>
      <c r="T18" s="2"/>
      <c r="U18" s="115"/>
      <c r="V18" s="63">
        <v>5.6130000000000004</v>
      </c>
      <c r="W18" s="64">
        <v>0.70399999999999996</v>
      </c>
      <c r="X18" s="316">
        <v>232</v>
      </c>
    </row>
    <row r="19" spans="1:24" x14ac:dyDescent="0.2">
      <c r="B19" s="121"/>
      <c r="C19" s="69"/>
      <c r="D19" s="70"/>
      <c r="E19" s="69"/>
      <c r="F19" s="69"/>
      <c r="G19" s="70"/>
      <c r="H19" s="69"/>
      <c r="I19" s="69"/>
      <c r="J19" s="70"/>
      <c r="K19" s="69"/>
      <c r="L19" s="69"/>
      <c r="M19" s="69"/>
      <c r="N19" s="70"/>
      <c r="O19" s="69"/>
    </row>
    <row r="20" spans="1:24" ht="13.5" thickBot="1" x14ac:dyDescent="0.25"/>
    <row r="21" spans="1:24" s="84" customFormat="1" ht="18" customHeight="1" thickBot="1" x14ac:dyDescent="0.25">
      <c r="B21" s="152" t="s">
        <v>25</v>
      </c>
      <c r="C21" s="850" t="s">
        <v>75</v>
      </c>
      <c r="D21" s="851"/>
      <c r="E21" s="852"/>
      <c r="F21" s="850" t="s">
        <v>76</v>
      </c>
      <c r="G21" s="851"/>
      <c r="H21" s="852"/>
      <c r="I21" s="850" t="s">
        <v>77</v>
      </c>
      <c r="J21" s="851"/>
      <c r="K21" s="852"/>
      <c r="L21" s="856" t="s">
        <v>81</v>
      </c>
      <c r="M21" s="857"/>
      <c r="N21" s="857"/>
      <c r="O21" s="858"/>
      <c r="P21" s="859" t="s">
        <v>78</v>
      </c>
      <c r="Q21" s="860"/>
      <c r="R21" s="861"/>
      <c r="S21" s="859" t="s">
        <v>79</v>
      </c>
      <c r="T21" s="860"/>
      <c r="U21" s="861"/>
      <c r="V21" s="859" t="s">
        <v>80</v>
      </c>
      <c r="W21" s="860"/>
      <c r="X21" s="861"/>
    </row>
    <row r="22" spans="1:24" s="101" customFormat="1" ht="26.45" customHeight="1" thickBot="1" x14ac:dyDescent="0.25">
      <c r="B22" s="141" t="s">
        <v>21</v>
      </c>
      <c r="C22" s="97" t="s">
        <v>57</v>
      </c>
      <c r="D22" s="95" t="s">
        <v>4</v>
      </c>
      <c r="E22" s="96" t="s">
        <v>58</v>
      </c>
      <c r="F22" s="97" t="s">
        <v>57</v>
      </c>
      <c r="G22" s="95" t="s">
        <v>4</v>
      </c>
      <c r="H22" s="96" t="s">
        <v>58</v>
      </c>
      <c r="I22" s="97" t="s">
        <v>57</v>
      </c>
      <c r="J22" s="95" t="s">
        <v>4</v>
      </c>
      <c r="K22" s="96" t="s">
        <v>58</v>
      </c>
      <c r="L22" s="97" t="s">
        <v>57</v>
      </c>
      <c r="M22" s="325" t="s">
        <v>59</v>
      </c>
      <c r="N22" s="95" t="s">
        <v>4</v>
      </c>
      <c r="O22" s="96" t="s">
        <v>58</v>
      </c>
      <c r="P22" s="97" t="s">
        <v>57</v>
      </c>
      <c r="Q22" s="95" t="s">
        <v>4</v>
      </c>
      <c r="R22" s="96" t="s">
        <v>58</v>
      </c>
      <c r="S22" s="97" t="s">
        <v>57</v>
      </c>
      <c r="T22" s="95" t="s">
        <v>4</v>
      </c>
      <c r="U22" s="96" t="s">
        <v>58</v>
      </c>
      <c r="V22" s="97" t="s">
        <v>57</v>
      </c>
      <c r="W22" s="95" t="s">
        <v>4</v>
      </c>
      <c r="X22" s="96" t="s">
        <v>58</v>
      </c>
    </row>
    <row r="23" spans="1:24" x14ac:dyDescent="0.2">
      <c r="B23" s="125">
        <v>4.8000000000000001E-2</v>
      </c>
      <c r="C23" s="66">
        <v>0.60799999999999998</v>
      </c>
      <c r="D23" s="67">
        <v>8.2400000000000001E-2</v>
      </c>
      <c r="E23" s="68">
        <v>0.34399999999999997</v>
      </c>
      <c r="F23" s="149"/>
      <c r="G23" s="150"/>
      <c r="H23" s="151"/>
      <c r="I23" s="149"/>
      <c r="J23" s="150"/>
      <c r="K23" s="151"/>
      <c r="L23" s="149"/>
      <c r="M23" s="324"/>
      <c r="N23" s="150"/>
      <c r="O23" s="151"/>
      <c r="P23" s="146"/>
      <c r="Q23" s="147"/>
      <c r="R23" s="148"/>
      <c r="S23" s="146"/>
      <c r="T23" s="147"/>
      <c r="U23" s="148"/>
      <c r="V23" s="111"/>
      <c r="W23" s="112"/>
      <c r="X23" s="113"/>
    </row>
    <row r="24" spans="1:24" x14ac:dyDescent="0.2">
      <c r="B24" s="126">
        <v>0.06</v>
      </c>
      <c r="C24" s="61">
        <v>0.76100000000000001</v>
      </c>
      <c r="D24" s="60">
        <v>8.3199999999999996E-2</v>
      </c>
      <c r="E24" s="62">
        <v>0.34899999999999998</v>
      </c>
      <c r="F24" s="61">
        <v>0.77500000000000002</v>
      </c>
      <c r="G24" s="60">
        <v>0.17119999999999999</v>
      </c>
      <c r="H24" s="62">
        <v>1.8919999999999999</v>
      </c>
      <c r="I24" s="61">
        <v>0.89</v>
      </c>
      <c r="J24" s="60">
        <v>0.3417</v>
      </c>
      <c r="K24" s="62">
        <v>8.6590000000000007</v>
      </c>
      <c r="L24" s="61">
        <v>0.77500000000000002</v>
      </c>
      <c r="M24" s="326">
        <v>0.38700000000000001</v>
      </c>
      <c r="N24" s="60">
        <v>0.3629</v>
      </c>
      <c r="O24" s="62">
        <v>8.5050000000000008</v>
      </c>
      <c r="P24" s="61">
        <v>0.41499999999999998</v>
      </c>
      <c r="Q24" s="60">
        <v>0.27200000000000002</v>
      </c>
      <c r="R24" s="62">
        <v>2.5579999999999998</v>
      </c>
      <c r="S24" s="61">
        <v>0.312</v>
      </c>
      <c r="T24" s="60">
        <v>0.39600000000000002</v>
      </c>
      <c r="U24" s="62">
        <v>4.08</v>
      </c>
      <c r="V24" s="3"/>
      <c r="W24" s="1"/>
      <c r="X24" s="4"/>
    </row>
    <row r="25" spans="1:24" x14ac:dyDescent="0.2">
      <c r="B25" s="126">
        <v>7.4999999999999997E-2</v>
      </c>
      <c r="C25" s="130"/>
      <c r="D25" s="131"/>
      <c r="E25" s="120"/>
      <c r="F25" s="61">
        <v>0.96799999999999997</v>
      </c>
      <c r="G25" s="60">
        <v>0.1721</v>
      </c>
      <c r="H25" s="62">
        <v>2.3919999999999999</v>
      </c>
      <c r="I25" s="61">
        <v>1.1180000000000001</v>
      </c>
      <c r="J25" s="60">
        <v>0.3427</v>
      </c>
      <c r="K25" s="62">
        <v>10.882999999999999</v>
      </c>
      <c r="L25" s="61">
        <v>0.96799999999999997</v>
      </c>
      <c r="M25" s="326">
        <v>0.48399999999999999</v>
      </c>
      <c r="N25" s="60">
        <v>0.36299999999999999</v>
      </c>
      <c r="O25" s="62">
        <v>10.631</v>
      </c>
      <c r="P25" s="61">
        <v>0.56899999999999995</v>
      </c>
      <c r="Q25" s="60">
        <v>0.26700000000000002</v>
      </c>
      <c r="R25" s="62">
        <v>3.3719999999999999</v>
      </c>
      <c r="S25" s="61">
        <v>0.42699999999999999</v>
      </c>
      <c r="T25" s="60">
        <v>0.39100000000000001</v>
      </c>
      <c r="U25" s="62">
        <v>5.45</v>
      </c>
      <c r="V25" s="3"/>
      <c r="W25" s="1"/>
      <c r="X25" s="4"/>
    </row>
    <row r="26" spans="1:24" x14ac:dyDescent="0.2">
      <c r="B26" s="126">
        <v>0.105</v>
      </c>
      <c r="C26" s="105"/>
      <c r="D26" s="70"/>
      <c r="E26" s="106"/>
      <c r="F26" s="61">
        <v>1.3560000000000001</v>
      </c>
      <c r="G26" s="60">
        <v>0.1741</v>
      </c>
      <c r="H26" s="62">
        <v>3.4249999999999998</v>
      </c>
      <c r="I26" s="61">
        <v>1.56</v>
      </c>
      <c r="J26" s="60">
        <v>0.3448</v>
      </c>
      <c r="K26" s="62">
        <v>15.459</v>
      </c>
      <c r="L26" s="61">
        <v>1.3560000000000001</v>
      </c>
      <c r="M26" s="326">
        <v>0.67800000000000005</v>
      </c>
      <c r="N26" s="60">
        <v>0.36359999999999998</v>
      </c>
      <c r="O26" s="62">
        <v>14.34</v>
      </c>
      <c r="P26" s="61">
        <v>0.91400000000000003</v>
      </c>
      <c r="Q26" s="60">
        <v>0.25800000000000001</v>
      </c>
      <c r="R26" s="62">
        <v>5.0730000000000004</v>
      </c>
      <c r="S26" s="61">
        <v>0.69699999999999995</v>
      </c>
      <c r="T26" s="60">
        <v>0.38</v>
      </c>
      <c r="U26" s="62">
        <v>8.39</v>
      </c>
      <c r="V26" s="3"/>
      <c r="W26" s="1"/>
      <c r="X26" s="4"/>
    </row>
    <row r="27" spans="1:24" x14ac:dyDescent="0.2">
      <c r="B27" s="126">
        <v>0.13500000000000001</v>
      </c>
      <c r="C27" s="105"/>
      <c r="D27" s="70"/>
      <c r="E27" s="106"/>
      <c r="F27" s="61">
        <v>1.7450000000000001</v>
      </c>
      <c r="G27" s="60">
        <v>0.17660000000000001</v>
      </c>
      <c r="H27" s="62">
        <v>4.5330000000000004</v>
      </c>
      <c r="I27" s="61">
        <v>2.0880000000000001</v>
      </c>
      <c r="J27" s="60">
        <v>0.34720000000000001</v>
      </c>
      <c r="K27" s="62">
        <v>20.183</v>
      </c>
      <c r="L27" s="61">
        <v>1.744</v>
      </c>
      <c r="M27" s="326">
        <v>0.872</v>
      </c>
      <c r="N27" s="60">
        <v>0.36459999999999998</v>
      </c>
      <c r="O27" s="62">
        <v>19.318999999999999</v>
      </c>
      <c r="P27" s="61">
        <v>1.29</v>
      </c>
      <c r="Q27" s="60">
        <v>0.252</v>
      </c>
      <c r="R27" s="62">
        <v>6.8259999999999996</v>
      </c>
      <c r="S27" s="61">
        <v>1.0089999999999999</v>
      </c>
      <c r="T27" s="60">
        <v>0.36899999999999999</v>
      </c>
      <c r="U27" s="62">
        <v>11.48</v>
      </c>
      <c r="V27" s="3"/>
      <c r="W27" s="1"/>
      <c r="X27" s="4"/>
    </row>
    <row r="28" spans="1:24" ht="13.5" thickBot="1" x14ac:dyDescent="0.25">
      <c r="B28" s="137">
        <v>0.16400000000000001</v>
      </c>
      <c r="C28" s="107"/>
      <c r="D28" s="108"/>
      <c r="E28" s="109"/>
      <c r="F28" s="63">
        <v>2.13</v>
      </c>
      <c r="G28" s="64">
        <v>0.17949999999999999</v>
      </c>
      <c r="H28" s="65">
        <v>5.7249999999999996</v>
      </c>
      <c r="I28" s="63">
        <v>2.4580000000000002</v>
      </c>
      <c r="J28" s="64">
        <v>0.34989999999999999</v>
      </c>
      <c r="K28" s="65">
        <v>25.091000000000001</v>
      </c>
      <c r="L28" s="63">
        <v>2.133</v>
      </c>
      <c r="M28" s="327">
        <v>1.0660000000000001</v>
      </c>
      <c r="N28" s="64">
        <v>0.36559999999999998</v>
      </c>
      <c r="O28" s="65">
        <v>23.76</v>
      </c>
      <c r="P28" s="5"/>
      <c r="Q28" s="123"/>
      <c r="R28" s="124"/>
      <c r="S28" s="5"/>
      <c r="T28" s="123"/>
      <c r="U28" s="124"/>
      <c r="V28" s="114"/>
      <c r="W28" s="2"/>
      <c r="X28" s="115"/>
    </row>
    <row r="29" spans="1:24" x14ac:dyDescent="0.2">
      <c r="B29" s="138">
        <v>0.1</v>
      </c>
      <c r="C29" s="111"/>
      <c r="D29" s="112"/>
      <c r="E29" s="113"/>
      <c r="F29" s="111"/>
      <c r="G29" s="112"/>
      <c r="H29" s="113"/>
      <c r="I29" s="111"/>
      <c r="J29" s="112"/>
      <c r="K29" s="113"/>
      <c r="L29" s="111"/>
      <c r="M29" s="112"/>
      <c r="N29" s="112"/>
      <c r="O29" s="113"/>
      <c r="P29" s="111"/>
      <c r="Q29" s="112"/>
      <c r="R29" s="113"/>
      <c r="S29" s="111"/>
      <c r="T29" s="112"/>
      <c r="U29" s="142"/>
      <c r="V29" s="66">
        <v>1.4039999999999999</v>
      </c>
      <c r="W29" s="67">
        <v>0.84379999999999999</v>
      </c>
      <c r="X29" s="227">
        <v>83.064999999999998</v>
      </c>
    </row>
    <row r="30" spans="1:24" x14ac:dyDescent="0.2">
      <c r="B30" s="139">
        <v>0.125</v>
      </c>
      <c r="C30" s="3"/>
      <c r="D30" s="1"/>
      <c r="E30" s="4"/>
      <c r="F30" s="3"/>
      <c r="G30" s="1"/>
      <c r="H30" s="4"/>
      <c r="I30" s="3"/>
      <c r="J30" s="1"/>
      <c r="K30" s="4"/>
      <c r="L30" s="3"/>
      <c r="M30" s="1"/>
      <c r="N30" s="1"/>
      <c r="O30" s="4"/>
      <c r="P30" s="3"/>
      <c r="Q30" s="1"/>
      <c r="R30" s="4"/>
      <c r="S30" s="3"/>
      <c r="T30" s="1"/>
      <c r="U30" s="143"/>
      <c r="V30" s="61">
        <v>1.75</v>
      </c>
      <c r="W30" s="60">
        <v>0.84440000000000004</v>
      </c>
      <c r="X30" s="215">
        <v>103.991</v>
      </c>
    </row>
    <row r="31" spans="1:24" x14ac:dyDescent="0.2">
      <c r="B31" s="139">
        <v>0.15</v>
      </c>
      <c r="C31" s="3"/>
      <c r="D31" s="1"/>
      <c r="E31" s="4"/>
      <c r="F31" s="3"/>
      <c r="G31" s="1"/>
      <c r="H31" s="4"/>
      <c r="I31" s="3"/>
      <c r="J31" s="1"/>
      <c r="K31" s="4"/>
      <c r="L31" s="3"/>
      <c r="M31" s="1"/>
      <c r="N31" s="1"/>
      <c r="O31" s="4"/>
      <c r="P31" s="3"/>
      <c r="Q31" s="1"/>
      <c r="R31" s="4"/>
      <c r="S31" s="3"/>
      <c r="T31" s="1"/>
      <c r="U31" s="143"/>
      <c r="V31" s="61">
        <v>2.1</v>
      </c>
      <c r="W31" s="60">
        <v>0.84489999999999998</v>
      </c>
      <c r="X31" s="215">
        <v>124.883</v>
      </c>
    </row>
    <row r="32" spans="1:24" x14ac:dyDescent="0.2">
      <c r="B32" s="139">
        <v>0.17499999999999999</v>
      </c>
      <c r="C32" s="3"/>
      <c r="D32" s="1"/>
      <c r="E32" s="4"/>
      <c r="F32" s="3"/>
      <c r="G32" s="1"/>
      <c r="H32" s="4"/>
      <c r="I32" s="3"/>
      <c r="J32" s="1"/>
      <c r="K32" s="4"/>
      <c r="L32" s="3"/>
      <c r="M32" s="1"/>
      <c r="N32" s="1"/>
      <c r="O32" s="4"/>
      <c r="P32" s="3"/>
      <c r="Q32" s="1"/>
      <c r="R32" s="4"/>
      <c r="S32" s="3"/>
      <c r="T32" s="1"/>
      <c r="U32" s="143"/>
      <c r="V32" s="61">
        <v>2.4489999999999998</v>
      </c>
      <c r="W32" s="60">
        <v>0.84540000000000004</v>
      </c>
      <c r="X32" s="215">
        <v>145.89500000000001</v>
      </c>
    </row>
    <row r="33" spans="2:24" x14ac:dyDescent="0.2">
      <c r="B33" s="139">
        <v>0.2</v>
      </c>
      <c r="C33" s="3"/>
      <c r="D33" s="1"/>
      <c r="E33" s="4"/>
      <c r="F33" s="3"/>
      <c r="G33" s="1"/>
      <c r="H33" s="4"/>
      <c r="I33" s="3"/>
      <c r="J33" s="1"/>
      <c r="K33" s="4"/>
      <c r="L33" s="3"/>
      <c r="M33" s="1"/>
      <c r="N33" s="1"/>
      <c r="O33" s="4"/>
      <c r="P33" s="3"/>
      <c r="Q33" s="1"/>
      <c r="R33" s="4"/>
      <c r="S33" s="3"/>
      <c r="T33" s="1"/>
      <c r="U33" s="143"/>
      <c r="V33" s="61">
        <v>2.7989999999999999</v>
      </c>
      <c r="W33" s="60">
        <v>0.84599999999999997</v>
      </c>
      <c r="X33" s="215">
        <v>166.959</v>
      </c>
    </row>
    <row r="34" spans="2:24" x14ac:dyDescent="0.2">
      <c r="B34" s="139">
        <v>0.22500000000000001</v>
      </c>
      <c r="C34" s="3"/>
      <c r="D34" s="1"/>
      <c r="E34" s="4"/>
      <c r="F34" s="3"/>
      <c r="G34" s="1"/>
      <c r="H34" s="4"/>
      <c r="I34" s="3"/>
      <c r="J34" s="1"/>
      <c r="K34" s="4"/>
      <c r="L34" s="3"/>
      <c r="M34" s="1"/>
      <c r="N34" s="1"/>
      <c r="O34" s="4"/>
      <c r="P34" s="3"/>
      <c r="Q34" s="1"/>
      <c r="R34" s="4"/>
      <c r="S34" s="3"/>
      <c r="T34" s="1"/>
      <c r="U34" s="144"/>
      <c r="V34" s="61">
        <v>3.149</v>
      </c>
      <c r="W34" s="60">
        <v>0.8468</v>
      </c>
      <c r="X34" s="215">
        <v>188.179</v>
      </c>
    </row>
    <row r="35" spans="2:24" ht="13.5" thickBot="1" x14ac:dyDescent="0.25">
      <c r="B35" s="140">
        <v>0.25</v>
      </c>
      <c r="C35" s="114"/>
      <c r="D35" s="2"/>
      <c r="E35" s="115"/>
      <c r="F35" s="114"/>
      <c r="G35" s="2"/>
      <c r="H35" s="115"/>
      <c r="I35" s="114"/>
      <c r="J35" s="2"/>
      <c r="K35" s="115"/>
      <c r="L35" s="114"/>
      <c r="M35" s="2"/>
      <c r="N35" s="2"/>
      <c r="O35" s="115"/>
      <c r="P35" s="114"/>
      <c r="Q35" s="2"/>
      <c r="R35" s="115"/>
      <c r="S35" s="114"/>
      <c r="T35" s="2"/>
      <c r="U35" s="145"/>
      <c r="V35" s="63">
        <v>3.5009999999999999</v>
      </c>
      <c r="W35" s="64">
        <v>0.84730000000000005</v>
      </c>
      <c r="X35" s="316">
        <v>209.434</v>
      </c>
    </row>
    <row r="36" spans="2:24" x14ac:dyDescent="0.2">
      <c r="T36" s="1"/>
      <c r="U36" s="69"/>
      <c r="V36" s="69"/>
      <c r="W36" s="70"/>
      <c r="X36" s="69"/>
    </row>
    <row r="37" spans="2:24" x14ac:dyDescent="0.2">
      <c r="T37" s="1"/>
      <c r="U37" s="87"/>
      <c r="V37" s="69"/>
      <c r="W37" s="70"/>
      <c r="X37" s="69"/>
    </row>
    <row r="38" spans="2:24" x14ac:dyDescent="0.2">
      <c r="T38" s="1"/>
      <c r="U38" s="1"/>
      <c r="V38" s="1"/>
      <c r="W38" s="1"/>
      <c r="X38" s="1"/>
    </row>
  </sheetData>
  <mergeCells count="16">
    <mergeCell ref="M2:O2"/>
    <mergeCell ref="L21:O21"/>
    <mergeCell ref="P2:R2"/>
    <mergeCell ref="S2:U2"/>
    <mergeCell ref="V2:X2"/>
    <mergeCell ref="P21:R21"/>
    <mergeCell ref="S21:U21"/>
    <mergeCell ref="V21:X21"/>
    <mergeCell ref="A2:B2"/>
    <mergeCell ref="A1:C1"/>
    <mergeCell ref="C21:E21"/>
    <mergeCell ref="F21:H21"/>
    <mergeCell ref="I21:K21"/>
    <mergeCell ref="C2:E2"/>
    <mergeCell ref="F2:H2"/>
    <mergeCell ref="I2:K2"/>
  </mergeCells>
  <pageMargins left="0.7" right="0.7" top="0.75" bottom="0.75" header="0.3" footer="0.3"/>
  <pageSetup paperSize="1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Normal="100" workbookViewId="0">
      <selection sqref="A1:E1"/>
    </sheetView>
  </sheetViews>
  <sheetFormatPr defaultRowHeight="12.75" x14ac:dyDescent="0.2"/>
  <cols>
    <col min="1" max="1" width="6.5703125" customWidth="1"/>
    <col min="2" max="2" width="10.7109375" customWidth="1"/>
    <col min="3" max="3" width="12.28515625" customWidth="1"/>
    <col min="4" max="4" width="10.28515625" customWidth="1"/>
    <col min="5" max="5" width="12.85546875" customWidth="1"/>
    <col min="6" max="6" width="10.42578125" customWidth="1"/>
    <col min="7" max="7" width="11" customWidth="1"/>
    <col min="8" max="8" width="14" customWidth="1"/>
    <col min="9" max="9" width="13.7109375" customWidth="1"/>
    <col min="10" max="10" width="12.42578125" customWidth="1"/>
    <col min="11" max="11" width="9.85546875" customWidth="1"/>
    <col min="12" max="12" width="12.28515625" customWidth="1"/>
    <col min="13" max="13" width="10.28515625" customWidth="1"/>
    <col min="16" max="16" width="11.28515625" customWidth="1"/>
  </cols>
  <sheetData>
    <row r="1" spans="1:20" ht="27" customHeight="1" thickBot="1" x14ac:dyDescent="0.35">
      <c r="A1" s="885" t="s">
        <v>111</v>
      </c>
      <c r="B1" s="886"/>
      <c r="C1" s="886"/>
      <c r="D1" s="886"/>
      <c r="E1" s="887"/>
      <c r="F1" s="214" t="s">
        <v>186</v>
      </c>
      <c r="G1" s="213"/>
      <c r="I1" s="213"/>
      <c r="J1" s="213"/>
      <c r="K1" s="213"/>
      <c r="L1" s="213"/>
    </row>
    <row r="2" spans="1:20" s="85" customFormat="1" ht="34.15" customHeight="1" thickBot="1" x14ac:dyDescent="0.25">
      <c r="A2" s="845" t="s">
        <v>24</v>
      </c>
      <c r="B2" s="846"/>
      <c r="C2" s="877" t="s">
        <v>119</v>
      </c>
      <c r="D2" s="888"/>
      <c r="E2" s="878"/>
      <c r="F2" s="877" t="s">
        <v>118</v>
      </c>
      <c r="G2" s="878"/>
      <c r="H2" s="853" t="s">
        <v>74</v>
      </c>
      <c r="I2" s="854"/>
      <c r="J2" s="854"/>
      <c r="K2" s="855"/>
      <c r="L2" s="197"/>
      <c r="M2" s="197"/>
      <c r="N2" s="197"/>
      <c r="O2" s="197"/>
      <c r="P2" s="197"/>
    </row>
    <row r="3" spans="1:20" s="196" customFormat="1" ht="24" customHeight="1" thickBot="1" x14ac:dyDescent="0.25">
      <c r="A3" s="194" t="s">
        <v>82</v>
      </c>
      <c r="B3" s="220" t="s">
        <v>21</v>
      </c>
      <c r="C3" s="198" t="s">
        <v>112</v>
      </c>
      <c r="D3" s="199" t="s">
        <v>113</v>
      </c>
      <c r="E3" s="200" t="s">
        <v>114</v>
      </c>
      <c r="F3" s="198" t="s">
        <v>112</v>
      </c>
      <c r="G3" s="200" t="s">
        <v>114</v>
      </c>
      <c r="H3" s="198" t="s">
        <v>107</v>
      </c>
      <c r="I3" s="199" t="s">
        <v>108</v>
      </c>
      <c r="J3" s="199" t="s">
        <v>109</v>
      </c>
      <c r="K3" s="200" t="s">
        <v>110</v>
      </c>
      <c r="L3" s="195"/>
      <c r="M3" s="195"/>
      <c r="N3" s="195"/>
      <c r="O3" s="195"/>
      <c r="P3" s="195"/>
    </row>
    <row r="4" spans="1:20" x14ac:dyDescent="0.2">
      <c r="A4" s="216">
        <v>16</v>
      </c>
      <c r="B4" s="217">
        <v>6.4000000000000001E-2</v>
      </c>
      <c r="C4" s="893">
        <v>0.3125</v>
      </c>
      <c r="D4" s="218">
        <v>16.7</v>
      </c>
      <c r="E4" s="219">
        <v>21.6</v>
      </c>
      <c r="F4" s="863" t="s">
        <v>117</v>
      </c>
      <c r="G4" s="219">
        <v>28.7</v>
      </c>
      <c r="H4" s="3"/>
      <c r="I4" s="1"/>
      <c r="J4" s="1"/>
      <c r="K4" s="201"/>
      <c r="L4" s="192"/>
      <c r="M4" s="191"/>
      <c r="N4" s="191"/>
      <c r="O4" s="192"/>
      <c r="P4" s="191"/>
    </row>
    <row r="5" spans="1:20" x14ac:dyDescent="0.2">
      <c r="A5" s="167">
        <v>14</v>
      </c>
      <c r="B5" s="126">
        <v>7.9000000000000001E-2</v>
      </c>
      <c r="C5" s="894"/>
      <c r="D5" s="202">
        <v>18.2</v>
      </c>
      <c r="E5" s="215">
        <v>29.8</v>
      </c>
      <c r="F5" s="881"/>
      <c r="G5" s="215">
        <v>35.700000000000003</v>
      </c>
      <c r="H5" s="132"/>
      <c r="I5" s="122"/>
      <c r="J5" s="1"/>
      <c r="K5" s="201"/>
      <c r="L5" s="192"/>
      <c r="M5" s="191"/>
      <c r="N5" s="191"/>
      <c r="O5" s="192"/>
      <c r="P5" s="191"/>
    </row>
    <row r="6" spans="1:20" ht="15.6" customHeight="1" x14ac:dyDescent="0.2">
      <c r="A6" s="167">
        <v>12</v>
      </c>
      <c r="B6" s="126">
        <v>0.109</v>
      </c>
      <c r="C6" s="889" t="s">
        <v>117</v>
      </c>
      <c r="D6" s="202">
        <v>23.4</v>
      </c>
      <c r="E6" s="215">
        <v>46.8</v>
      </c>
      <c r="F6" s="895">
        <v>0.4375</v>
      </c>
      <c r="G6" s="215">
        <v>53</v>
      </c>
      <c r="H6" s="889" t="s">
        <v>115</v>
      </c>
      <c r="I6" s="202">
        <v>43</v>
      </c>
      <c r="J6" s="206"/>
      <c r="K6" s="207"/>
      <c r="L6" s="192"/>
      <c r="M6" s="191"/>
      <c r="N6" s="191"/>
      <c r="O6" s="192"/>
      <c r="P6" s="191"/>
    </row>
    <row r="7" spans="1:20" ht="15" customHeight="1" x14ac:dyDescent="0.2">
      <c r="A7" s="167">
        <v>10</v>
      </c>
      <c r="B7" s="127">
        <v>0.13800000000000001</v>
      </c>
      <c r="C7" s="892"/>
      <c r="D7" s="202">
        <v>24.5</v>
      </c>
      <c r="E7" s="215">
        <v>49</v>
      </c>
      <c r="F7" s="896"/>
      <c r="G7" s="215">
        <v>63.7</v>
      </c>
      <c r="H7" s="863"/>
      <c r="I7" s="202">
        <v>62</v>
      </c>
      <c r="J7" s="206"/>
      <c r="K7" s="207"/>
      <c r="L7" s="192"/>
      <c r="M7" s="191"/>
      <c r="N7" s="191"/>
      <c r="O7" s="192"/>
      <c r="P7" s="191"/>
    </row>
    <row r="8" spans="1:20" ht="15" customHeight="1" x14ac:dyDescent="0.2">
      <c r="A8" s="167">
        <v>8</v>
      </c>
      <c r="B8" s="127">
        <v>0.16800000000000001</v>
      </c>
      <c r="C8" s="881"/>
      <c r="D8" s="202">
        <v>25.6</v>
      </c>
      <c r="E8" s="215">
        <v>51.3</v>
      </c>
      <c r="F8" s="897"/>
      <c r="G8" s="215">
        <v>70.7</v>
      </c>
      <c r="H8" s="863"/>
      <c r="I8" s="202">
        <v>81</v>
      </c>
      <c r="J8" s="206"/>
      <c r="K8" s="207"/>
      <c r="L8" s="192"/>
      <c r="M8" s="193"/>
      <c r="N8" s="193"/>
      <c r="O8" s="193"/>
      <c r="P8" s="193"/>
    </row>
    <row r="9" spans="1:20" ht="15" customHeight="1" x14ac:dyDescent="0.2">
      <c r="A9" s="167">
        <v>7</v>
      </c>
      <c r="B9" s="128">
        <v>0.188</v>
      </c>
      <c r="C9" s="130"/>
      <c r="D9" s="131"/>
      <c r="E9" s="120"/>
      <c r="F9" s="130"/>
      <c r="G9" s="120"/>
      <c r="H9" s="863"/>
      <c r="I9" s="202">
        <v>93</v>
      </c>
      <c r="J9" s="206"/>
      <c r="K9" s="207"/>
      <c r="L9" s="192"/>
      <c r="M9" s="193"/>
      <c r="N9" s="193"/>
      <c r="O9" s="193"/>
      <c r="P9" s="193"/>
    </row>
    <row r="10" spans="1:20" ht="15" customHeight="1" x14ac:dyDescent="0.2">
      <c r="A10" s="167">
        <v>5</v>
      </c>
      <c r="B10" s="128">
        <v>0.218</v>
      </c>
      <c r="C10" s="105"/>
      <c r="D10" s="70"/>
      <c r="E10" s="106"/>
      <c r="F10" s="105"/>
      <c r="G10" s="106"/>
      <c r="H10" s="863"/>
      <c r="I10" s="202">
        <v>112</v>
      </c>
      <c r="J10" s="206"/>
      <c r="K10" s="207"/>
      <c r="L10" s="192"/>
      <c r="M10" s="193"/>
      <c r="N10" s="193"/>
      <c r="O10" s="193"/>
      <c r="P10" s="193"/>
    </row>
    <row r="11" spans="1:20" ht="15" customHeight="1" x14ac:dyDescent="0.2">
      <c r="A11" s="168">
        <v>3</v>
      </c>
      <c r="B11" s="128">
        <v>0.249</v>
      </c>
      <c r="C11" s="105"/>
      <c r="D11" s="70"/>
      <c r="E11" s="106"/>
      <c r="F11" s="105"/>
      <c r="G11" s="106"/>
      <c r="H11" s="863"/>
      <c r="I11" s="202">
        <v>132</v>
      </c>
      <c r="J11" s="208"/>
      <c r="K11" s="209"/>
      <c r="L11" s="192"/>
      <c r="M11" s="193"/>
      <c r="N11" s="193"/>
      <c r="O11" s="193"/>
      <c r="P11" s="193"/>
    </row>
    <row r="12" spans="1:20" ht="15" customHeight="1" x14ac:dyDescent="0.2">
      <c r="A12" s="168">
        <v>1</v>
      </c>
      <c r="B12" s="128">
        <v>0.28000000000000003</v>
      </c>
      <c r="C12" s="105"/>
      <c r="D12" s="70"/>
      <c r="E12" s="106"/>
      <c r="F12" s="105"/>
      <c r="G12" s="106"/>
      <c r="H12" s="890"/>
      <c r="I12" s="202">
        <v>144</v>
      </c>
      <c r="J12" s="202">
        <v>180</v>
      </c>
      <c r="K12" s="203">
        <v>194</v>
      </c>
      <c r="L12" s="192"/>
      <c r="M12" s="193"/>
      <c r="N12" s="193"/>
      <c r="O12" s="193"/>
      <c r="P12" s="193"/>
    </row>
    <row r="13" spans="1:20" ht="15" customHeight="1" x14ac:dyDescent="0.2">
      <c r="A13" s="165"/>
      <c r="B13" s="126">
        <v>0.318</v>
      </c>
      <c r="C13" s="105"/>
      <c r="D13" s="70"/>
      <c r="E13" s="106"/>
      <c r="F13" s="105"/>
      <c r="G13" s="106"/>
      <c r="H13" s="889" t="s">
        <v>116</v>
      </c>
      <c r="I13" s="205"/>
      <c r="J13" s="210"/>
      <c r="K13" s="203">
        <v>235</v>
      </c>
      <c r="L13" s="192"/>
      <c r="M13" s="193"/>
      <c r="N13" s="193"/>
      <c r="O13" s="193"/>
      <c r="P13" s="193"/>
    </row>
    <row r="14" spans="1:20" ht="13.5" thickBot="1" x14ac:dyDescent="0.25">
      <c r="A14" s="166"/>
      <c r="B14" s="129">
        <v>0.38</v>
      </c>
      <c r="C14" s="107"/>
      <c r="D14" s="108"/>
      <c r="E14" s="109"/>
      <c r="F14" s="107"/>
      <c r="G14" s="109"/>
      <c r="H14" s="891"/>
      <c r="I14" s="211"/>
      <c r="J14" s="212"/>
      <c r="K14" s="204">
        <v>285</v>
      </c>
      <c r="L14" s="192"/>
      <c r="M14" s="193"/>
      <c r="N14" s="193"/>
      <c r="O14" s="193"/>
      <c r="P14" s="193"/>
    </row>
    <row r="15" spans="1:20" ht="13.5" thickBot="1" x14ac:dyDescent="0.25">
      <c r="B15" s="121"/>
      <c r="C15" s="69"/>
      <c r="D15" s="70"/>
      <c r="E15" s="69"/>
      <c r="F15" s="69"/>
      <c r="G15" s="69"/>
      <c r="H15" s="69"/>
      <c r="I15" s="70"/>
      <c r="J15" s="69"/>
    </row>
    <row r="16" spans="1:20" s="84" customFormat="1" ht="31.9" customHeight="1" thickBot="1" x14ac:dyDescent="0.25">
      <c r="B16" s="152" t="s">
        <v>25</v>
      </c>
      <c r="C16" s="877" t="s">
        <v>120</v>
      </c>
      <c r="D16" s="888"/>
      <c r="E16" s="878"/>
      <c r="F16" s="877" t="s">
        <v>121</v>
      </c>
      <c r="G16" s="878"/>
      <c r="H16" s="877" t="s">
        <v>122</v>
      </c>
      <c r="I16" s="878"/>
      <c r="J16" s="898" t="s">
        <v>55</v>
      </c>
      <c r="K16" s="854"/>
      <c r="L16" s="855"/>
      <c r="M16" s="222"/>
      <c r="N16" s="222"/>
      <c r="O16" s="633"/>
      <c r="P16" s="633"/>
      <c r="Q16" s="633"/>
      <c r="R16" s="633"/>
      <c r="S16" s="633"/>
      <c r="T16" s="633"/>
    </row>
    <row r="17" spans="2:20" s="84" customFormat="1" ht="16.149999999999999" customHeight="1" thickBot="1" x14ac:dyDescent="0.25">
      <c r="B17" s="865" t="s">
        <v>21</v>
      </c>
      <c r="C17" s="867" t="s">
        <v>112</v>
      </c>
      <c r="D17" s="869" t="s">
        <v>113</v>
      </c>
      <c r="E17" s="871" t="s">
        <v>129</v>
      </c>
      <c r="F17" s="867" t="s">
        <v>112</v>
      </c>
      <c r="G17" s="871" t="s">
        <v>114</v>
      </c>
      <c r="H17" s="867" t="s">
        <v>112</v>
      </c>
      <c r="I17" s="871" t="s">
        <v>128</v>
      </c>
      <c r="J17" s="875" t="s">
        <v>126</v>
      </c>
      <c r="K17" s="245" t="s">
        <v>123</v>
      </c>
      <c r="L17" s="246" t="s">
        <v>124</v>
      </c>
      <c r="M17" s="222"/>
      <c r="N17" s="222"/>
      <c r="O17" s="222"/>
      <c r="P17" s="222"/>
      <c r="Q17" s="222"/>
      <c r="R17" s="222"/>
      <c r="S17" s="222"/>
      <c r="T17" s="222"/>
    </row>
    <row r="18" spans="2:20" s="101" customFormat="1" ht="25.9" customHeight="1" thickBot="1" x14ac:dyDescent="0.25">
      <c r="B18" s="866"/>
      <c r="C18" s="868"/>
      <c r="D18" s="870"/>
      <c r="E18" s="872"/>
      <c r="F18" s="868"/>
      <c r="G18" s="872"/>
      <c r="H18" s="868"/>
      <c r="I18" s="872"/>
      <c r="J18" s="876"/>
      <c r="K18" s="225" t="s">
        <v>125</v>
      </c>
      <c r="L18" s="194" t="s">
        <v>127</v>
      </c>
      <c r="M18" s="190"/>
      <c r="N18" s="190"/>
      <c r="O18" s="190"/>
      <c r="P18" s="190"/>
      <c r="Q18" s="190"/>
      <c r="R18" s="190"/>
      <c r="S18" s="190"/>
      <c r="T18" s="190"/>
    </row>
    <row r="19" spans="2:20" ht="13.15" customHeight="1" x14ac:dyDescent="0.2">
      <c r="B19" s="230">
        <v>0.06</v>
      </c>
      <c r="C19" s="879">
        <v>0.3125</v>
      </c>
      <c r="D19" s="226">
        <v>9</v>
      </c>
      <c r="E19" s="227">
        <v>14</v>
      </c>
      <c r="F19" s="862" t="s">
        <v>117</v>
      </c>
      <c r="G19" s="227">
        <v>16.5</v>
      </c>
      <c r="H19" s="873">
        <v>0.5</v>
      </c>
      <c r="I19" s="227">
        <v>16</v>
      </c>
      <c r="J19" s="111"/>
      <c r="K19" s="112"/>
      <c r="L19" s="113"/>
      <c r="M19" s="192"/>
      <c r="N19" s="191"/>
      <c r="O19" s="191"/>
      <c r="P19" s="192"/>
      <c r="Q19" s="191"/>
      <c r="R19" s="193"/>
      <c r="S19" s="193"/>
      <c r="T19" s="193"/>
    </row>
    <row r="20" spans="2:20" ht="13.15" customHeight="1" x14ac:dyDescent="0.2">
      <c r="B20" s="231">
        <v>7.4999999999999997E-2</v>
      </c>
      <c r="C20" s="880"/>
      <c r="D20" s="202">
        <v>9</v>
      </c>
      <c r="E20" s="215">
        <v>18</v>
      </c>
      <c r="F20" s="881"/>
      <c r="G20" s="215">
        <v>20.5</v>
      </c>
      <c r="H20" s="874"/>
      <c r="I20" s="215">
        <v>19.899999999999999</v>
      </c>
      <c r="J20" s="3"/>
      <c r="K20" s="1"/>
      <c r="L20" s="4"/>
      <c r="M20" s="192"/>
      <c r="N20" s="191"/>
      <c r="O20" s="191"/>
      <c r="P20" s="192"/>
      <c r="Q20" s="191"/>
      <c r="R20" s="193"/>
      <c r="S20" s="193"/>
      <c r="T20" s="193"/>
    </row>
    <row r="21" spans="2:20" ht="13.15" customHeight="1" x14ac:dyDescent="0.2">
      <c r="B21" s="231">
        <v>0.105</v>
      </c>
      <c r="C21" s="882" t="s">
        <v>117</v>
      </c>
      <c r="D21" s="202">
        <v>15.6</v>
      </c>
      <c r="E21" s="215">
        <v>31.5</v>
      </c>
      <c r="F21" s="884">
        <v>0.5</v>
      </c>
      <c r="G21" s="215">
        <v>28</v>
      </c>
      <c r="H21" s="874"/>
      <c r="I21" s="215">
        <v>27.9</v>
      </c>
      <c r="J21" s="239"/>
      <c r="K21" s="223"/>
      <c r="L21" s="240"/>
      <c r="M21" s="192"/>
      <c r="N21" s="191"/>
      <c r="O21" s="191"/>
      <c r="P21" s="192"/>
      <c r="Q21" s="191"/>
      <c r="R21" s="193"/>
      <c r="S21" s="193"/>
      <c r="T21" s="193"/>
    </row>
    <row r="22" spans="2:20" ht="13.15" customHeight="1" x14ac:dyDescent="0.2">
      <c r="B22" s="231">
        <v>0.13500000000000001</v>
      </c>
      <c r="C22" s="883"/>
      <c r="D22" s="202">
        <v>16.2</v>
      </c>
      <c r="E22" s="215">
        <v>33</v>
      </c>
      <c r="F22" s="874"/>
      <c r="G22" s="215">
        <v>42</v>
      </c>
      <c r="H22" s="874"/>
      <c r="I22" s="215">
        <v>35.9</v>
      </c>
      <c r="J22" s="239"/>
      <c r="K22" s="223"/>
      <c r="L22" s="240"/>
      <c r="M22" s="192"/>
      <c r="N22" s="191"/>
      <c r="O22" s="191"/>
      <c r="P22" s="192"/>
      <c r="Q22" s="191"/>
      <c r="R22" s="193"/>
      <c r="S22" s="193"/>
      <c r="T22" s="193"/>
    </row>
    <row r="23" spans="2:20" ht="13.9" customHeight="1" thickBot="1" x14ac:dyDescent="0.25">
      <c r="B23" s="232">
        <v>0.16400000000000001</v>
      </c>
      <c r="C23" s="883"/>
      <c r="D23" s="228">
        <v>16.8</v>
      </c>
      <c r="E23" s="229">
        <v>34</v>
      </c>
      <c r="F23" s="874"/>
      <c r="G23" s="229">
        <v>54.5</v>
      </c>
      <c r="H23" s="874"/>
      <c r="I23" s="229">
        <v>43.5</v>
      </c>
      <c r="J23" s="241"/>
      <c r="K23" s="242"/>
      <c r="L23" s="224"/>
      <c r="M23" s="193"/>
      <c r="N23" s="193"/>
      <c r="O23" s="193"/>
      <c r="P23" s="193"/>
      <c r="Q23" s="193"/>
      <c r="R23" s="193"/>
      <c r="S23" s="193"/>
      <c r="T23" s="193"/>
    </row>
    <row r="24" spans="2:20" ht="13.15" customHeight="1" x14ac:dyDescent="0.2">
      <c r="B24" s="233">
        <v>0.1</v>
      </c>
      <c r="C24" s="102"/>
      <c r="D24" s="103"/>
      <c r="E24" s="104"/>
      <c r="F24" s="102"/>
      <c r="G24" s="104"/>
      <c r="H24" s="102"/>
      <c r="I24" s="104"/>
      <c r="J24" s="862" t="s">
        <v>115</v>
      </c>
      <c r="K24" s="226">
        <v>28</v>
      </c>
      <c r="L24" s="227">
        <v>26.4</v>
      </c>
      <c r="M24" s="193"/>
      <c r="N24" s="193"/>
      <c r="O24" s="193"/>
      <c r="P24" s="193"/>
      <c r="Q24" s="221"/>
      <c r="R24" s="191"/>
      <c r="S24" s="192"/>
      <c r="T24" s="191"/>
    </row>
    <row r="25" spans="2:20" ht="13.15" customHeight="1" x14ac:dyDescent="0.2">
      <c r="B25" s="234">
        <v>0.125</v>
      </c>
      <c r="C25" s="105"/>
      <c r="D25" s="70"/>
      <c r="E25" s="106"/>
      <c r="F25" s="105"/>
      <c r="G25" s="106"/>
      <c r="H25" s="105"/>
      <c r="I25" s="106"/>
      <c r="J25" s="863"/>
      <c r="K25" s="202">
        <v>41</v>
      </c>
      <c r="L25" s="215">
        <v>34.799999999999997</v>
      </c>
      <c r="M25" s="193"/>
      <c r="N25" s="193"/>
      <c r="O25" s="193"/>
      <c r="P25" s="193"/>
      <c r="Q25" s="221"/>
      <c r="R25" s="191"/>
      <c r="S25" s="192"/>
      <c r="T25" s="191"/>
    </row>
    <row r="26" spans="2:20" ht="13.15" customHeight="1" x14ac:dyDescent="0.2">
      <c r="B26" s="234">
        <v>0.15</v>
      </c>
      <c r="C26" s="105"/>
      <c r="D26" s="70"/>
      <c r="E26" s="106"/>
      <c r="F26" s="105"/>
      <c r="G26" s="106"/>
      <c r="H26" s="105"/>
      <c r="I26" s="106"/>
      <c r="J26" s="863"/>
      <c r="K26" s="202">
        <v>54.1</v>
      </c>
      <c r="L26" s="215">
        <v>44.4</v>
      </c>
      <c r="M26" s="193"/>
      <c r="N26" s="193"/>
      <c r="O26" s="193"/>
      <c r="P26" s="193"/>
      <c r="Q26" s="221"/>
      <c r="R26" s="191"/>
      <c r="S26" s="192"/>
      <c r="T26" s="191"/>
    </row>
    <row r="27" spans="2:20" ht="13.15" customHeight="1" x14ac:dyDescent="0.2">
      <c r="B27" s="234">
        <v>0.17499999999999999</v>
      </c>
      <c r="C27" s="105"/>
      <c r="D27" s="70"/>
      <c r="E27" s="106"/>
      <c r="F27" s="105"/>
      <c r="G27" s="106"/>
      <c r="H27" s="105"/>
      <c r="I27" s="106"/>
      <c r="J27" s="863"/>
      <c r="K27" s="202">
        <v>63.7</v>
      </c>
      <c r="L27" s="215">
        <v>52.8</v>
      </c>
      <c r="M27" s="193"/>
      <c r="N27" s="193"/>
      <c r="O27" s="193"/>
      <c r="P27" s="193"/>
      <c r="Q27" s="221"/>
      <c r="R27" s="191"/>
      <c r="S27" s="192"/>
      <c r="T27" s="191"/>
    </row>
    <row r="28" spans="2:20" ht="13.15" customHeight="1" x14ac:dyDescent="0.2">
      <c r="B28" s="234">
        <v>0.2</v>
      </c>
      <c r="C28" s="105"/>
      <c r="D28" s="70"/>
      <c r="E28" s="106"/>
      <c r="F28" s="105"/>
      <c r="G28" s="106"/>
      <c r="H28" s="105"/>
      <c r="I28" s="106"/>
      <c r="J28" s="863"/>
      <c r="K28" s="202">
        <v>73.400000000000006</v>
      </c>
      <c r="L28" s="215">
        <v>52.8</v>
      </c>
      <c r="M28" s="193"/>
      <c r="N28" s="193"/>
      <c r="O28" s="193"/>
      <c r="P28" s="193"/>
      <c r="Q28" s="221"/>
      <c r="R28" s="191"/>
      <c r="S28" s="192"/>
      <c r="T28" s="191"/>
    </row>
    <row r="29" spans="2:20" ht="13.9" customHeight="1" x14ac:dyDescent="0.2">
      <c r="B29" s="234">
        <v>0.22500000000000001</v>
      </c>
      <c r="C29" s="105"/>
      <c r="D29" s="70"/>
      <c r="E29" s="106"/>
      <c r="F29" s="105"/>
      <c r="G29" s="106"/>
      <c r="H29" s="105"/>
      <c r="I29" s="106"/>
      <c r="J29" s="863"/>
      <c r="K29" s="202">
        <v>83.2</v>
      </c>
      <c r="L29" s="215">
        <v>52.8</v>
      </c>
      <c r="M29" s="193"/>
      <c r="N29" s="193"/>
      <c r="O29" s="193"/>
      <c r="P29" s="193"/>
      <c r="Q29" s="221"/>
      <c r="R29" s="191"/>
      <c r="S29" s="192"/>
      <c r="T29" s="191"/>
    </row>
    <row r="30" spans="2:20" ht="13.5" thickBot="1" x14ac:dyDescent="0.25">
      <c r="B30" s="235">
        <v>0.25</v>
      </c>
      <c r="C30" s="236"/>
      <c r="D30" s="237"/>
      <c r="E30" s="238"/>
      <c r="F30" s="236"/>
      <c r="G30" s="238"/>
      <c r="H30" s="236"/>
      <c r="I30" s="238"/>
      <c r="J30" s="864"/>
      <c r="K30" s="243">
        <v>93.1</v>
      </c>
      <c r="L30" s="244">
        <v>52.8</v>
      </c>
      <c r="M30" s="221"/>
      <c r="N30" s="191"/>
      <c r="O30" s="192"/>
      <c r="P30" s="191"/>
    </row>
    <row r="31" spans="2:20" x14ac:dyDescent="0.2">
      <c r="C31" s="190"/>
      <c r="D31" s="190"/>
      <c r="E31" s="190"/>
      <c r="F31" s="190"/>
      <c r="G31" s="190"/>
      <c r="H31" s="195"/>
      <c r="I31" s="190"/>
      <c r="J31" s="190"/>
      <c r="K31" s="190"/>
      <c r="M31" s="69"/>
      <c r="N31" s="69"/>
      <c r="O31" s="70"/>
      <c r="P31" s="69"/>
    </row>
    <row r="32" spans="2:20" x14ac:dyDescent="0.2">
      <c r="C32" s="191"/>
      <c r="D32" s="192"/>
      <c r="E32" s="191"/>
      <c r="F32" s="191"/>
      <c r="G32" s="191"/>
      <c r="H32" s="191"/>
      <c r="I32" s="192"/>
      <c r="J32" s="191"/>
      <c r="K32" s="191"/>
      <c r="M32" s="87"/>
      <c r="N32" s="69"/>
      <c r="O32" s="70"/>
      <c r="P32" s="69"/>
    </row>
    <row r="33" spans="3:16" x14ac:dyDescent="0.2">
      <c r="C33" s="191"/>
      <c r="D33" s="192"/>
      <c r="E33" s="191"/>
      <c r="F33" s="191"/>
      <c r="G33" s="191"/>
      <c r="H33" s="191"/>
      <c r="I33" s="192"/>
      <c r="J33" s="191"/>
      <c r="K33" s="191"/>
      <c r="M33" s="1"/>
      <c r="N33" s="1"/>
      <c r="O33" s="1"/>
      <c r="P33" s="1"/>
    </row>
    <row r="34" spans="3:16" x14ac:dyDescent="0.2">
      <c r="C34" s="191"/>
      <c r="D34" s="192"/>
      <c r="E34" s="191"/>
      <c r="F34" s="191"/>
      <c r="G34" s="191"/>
      <c r="H34" s="191"/>
      <c r="I34" s="192"/>
      <c r="J34" s="191"/>
      <c r="K34" s="191"/>
    </row>
    <row r="35" spans="3:16" x14ac:dyDescent="0.2">
      <c r="C35" s="191"/>
      <c r="D35" s="192"/>
      <c r="E35" s="191"/>
      <c r="F35" s="191"/>
      <c r="G35" s="191"/>
      <c r="H35" s="191"/>
      <c r="I35" s="192"/>
      <c r="J35" s="191"/>
      <c r="K35" s="191"/>
    </row>
    <row r="36" spans="3:16" x14ac:dyDescent="0.2">
      <c r="C36" s="191"/>
      <c r="D36" s="192"/>
      <c r="E36" s="191"/>
      <c r="F36" s="191"/>
      <c r="G36" s="191"/>
      <c r="H36" s="191"/>
      <c r="I36" s="192"/>
      <c r="J36" s="191"/>
      <c r="K36" s="193"/>
    </row>
    <row r="37" spans="3:16" x14ac:dyDescent="0.2">
      <c r="C37" s="193"/>
      <c r="D37" s="193"/>
      <c r="E37" s="193"/>
      <c r="F37" s="193"/>
      <c r="G37" s="193"/>
      <c r="H37" s="193"/>
      <c r="I37" s="193"/>
      <c r="J37" s="193"/>
      <c r="K37" s="193"/>
    </row>
    <row r="38" spans="3:16" x14ac:dyDescent="0.2">
      <c r="C38" s="193"/>
      <c r="D38" s="193"/>
      <c r="E38" s="193"/>
      <c r="F38" s="193"/>
      <c r="G38" s="193"/>
      <c r="H38" s="193"/>
      <c r="I38" s="193"/>
      <c r="J38" s="193"/>
      <c r="K38" s="193"/>
    </row>
    <row r="39" spans="3:16" x14ac:dyDescent="0.2">
      <c r="C39" s="193"/>
      <c r="D39" s="193"/>
      <c r="E39" s="193"/>
      <c r="F39" s="193"/>
      <c r="G39" s="193"/>
      <c r="H39" s="193"/>
      <c r="I39" s="193"/>
      <c r="J39" s="193"/>
      <c r="K39" s="193"/>
    </row>
    <row r="40" spans="3:16" x14ac:dyDescent="0.2">
      <c r="C40" s="193"/>
      <c r="D40" s="193"/>
      <c r="E40" s="193"/>
      <c r="F40" s="193"/>
      <c r="G40" s="193"/>
      <c r="H40" s="193"/>
      <c r="I40" s="193"/>
      <c r="J40" s="193"/>
      <c r="K40" s="193"/>
    </row>
    <row r="41" spans="3:16" x14ac:dyDescent="0.2">
      <c r="C41" s="193"/>
      <c r="D41" s="193"/>
      <c r="E41" s="193"/>
      <c r="F41" s="193"/>
      <c r="G41" s="193"/>
      <c r="H41" s="193"/>
      <c r="I41" s="193"/>
      <c r="J41" s="193"/>
      <c r="K41" s="193"/>
    </row>
    <row r="42" spans="3:16" x14ac:dyDescent="0.2">
      <c r="C42" s="193"/>
      <c r="D42" s="193"/>
      <c r="E42" s="193"/>
      <c r="F42" s="193"/>
      <c r="G42" s="193"/>
      <c r="H42" s="193"/>
      <c r="I42" s="193"/>
      <c r="J42" s="193"/>
      <c r="K42" s="193"/>
    </row>
    <row r="43" spans="3:16" x14ac:dyDescent="0.2">
      <c r="C43" s="193"/>
      <c r="D43" s="193"/>
      <c r="E43" s="193"/>
      <c r="F43" s="193"/>
      <c r="G43" s="193"/>
      <c r="H43" s="193"/>
      <c r="I43" s="193"/>
      <c r="J43" s="193"/>
      <c r="K43" s="193"/>
    </row>
  </sheetData>
  <mergeCells count="32">
    <mergeCell ref="A1:E1"/>
    <mergeCell ref="O16:Q16"/>
    <mergeCell ref="R16:T16"/>
    <mergeCell ref="H2:K2"/>
    <mergeCell ref="A2:B2"/>
    <mergeCell ref="C2:E2"/>
    <mergeCell ref="F2:G2"/>
    <mergeCell ref="H6:H12"/>
    <mergeCell ref="H13:H14"/>
    <mergeCell ref="C6:C8"/>
    <mergeCell ref="C4:C5"/>
    <mergeCell ref="F4:F5"/>
    <mergeCell ref="F6:F8"/>
    <mergeCell ref="J16:L16"/>
    <mergeCell ref="H16:I16"/>
    <mergeCell ref="C16:E16"/>
    <mergeCell ref="F16:G16"/>
    <mergeCell ref="C19:C20"/>
    <mergeCell ref="F19:F20"/>
    <mergeCell ref="C21:C23"/>
    <mergeCell ref="F21:F23"/>
    <mergeCell ref="J24:J30"/>
    <mergeCell ref="B17:B18"/>
    <mergeCell ref="C17:C18"/>
    <mergeCell ref="D17:D18"/>
    <mergeCell ref="E17:E18"/>
    <mergeCell ref="F17:F18"/>
    <mergeCell ref="G17:G18"/>
    <mergeCell ref="H17:H18"/>
    <mergeCell ref="I17:I18"/>
    <mergeCell ref="H19:H23"/>
    <mergeCell ref="J17:J18"/>
  </mergeCells>
  <pageMargins left="0.7" right="0.7" top="0.75" bottom="0.75" header="0.3" footer="0.3"/>
  <pageSetup paperSize="1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J1:AS1"/>
  <sheetViews>
    <sheetView zoomScaleNormal="100" workbookViewId="0"/>
  </sheetViews>
  <sheetFormatPr defaultRowHeight="12.75" x14ac:dyDescent="0.2"/>
  <cols>
    <col min="1" max="1" width="3.7109375" customWidth="1"/>
    <col min="9" max="9" width="8.42578125" customWidth="1"/>
    <col min="17" max="17" width="18.42578125" customWidth="1"/>
    <col min="18" max="18" width="19.28515625" customWidth="1"/>
    <col min="27" max="29" width="2.28515625" customWidth="1"/>
    <col min="35" max="35" width="10.28515625" customWidth="1"/>
    <col min="36" max="36" width="2.5703125" hidden="1" customWidth="1"/>
    <col min="37" max="37" width="22" customWidth="1"/>
    <col min="38" max="38" width="17.5703125" customWidth="1"/>
    <col min="45" max="45" width="2.7109375" hidden="1" customWidth="1"/>
    <col min="54" max="54" width="0.85546875" customWidth="1"/>
    <col min="63" max="63" width="2.5703125" customWidth="1"/>
    <col min="72" max="72" width="2.5703125" customWidth="1"/>
    <col min="81" max="81" width="0.42578125" customWidth="1"/>
    <col min="90" max="90" width="1.28515625" customWidth="1"/>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CMP Input</vt:lpstr>
      <vt:lpstr>CMP LRFR output</vt:lpstr>
      <vt:lpstr>Reference tables</vt:lpstr>
      <vt:lpstr>section property tables</vt:lpstr>
      <vt:lpstr>seam strength tables</vt:lpstr>
      <vt:lpstr>NCSPA Design Data Sheet No 19</vt:lpstr>
      <vt:lpstr>aluminum_corrugation</vt:lpstr>
      <vt:lpstr>corrugation_all</vt:lpstr>
      <vt:lpstr>Gage_number</vt:lpstr>
      <vt:lpstr>metal_type</vt:lpstr>
      <vt:lpstr>'CMP Input'!Print_Area</vt:lpstr>
      <vt:lpstr>'seam strength tables'!Print_Area</vt:lpstr>
      <vt:lpstr>'CMP Input'!Print_Titles</vt:lpstr>
      <vt:lpstr>'CMP LRFR output'!Print_Titles</vt:lpstr>
      <vt:lpstr>seam_type</vt:lpstr>
      <vt:lpstr>steel_corrugation</vt:lpstr>
      <vt:lpstr>structure_category</vt:lpstr>
      <vt:lpstr>structure_type</vt:lpstr>
    </vt:vector>
  </TitlesOfParts>
  <Company>Burgess and Niple, Ltd.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Cindy Wang</dc:creator>
  <cp:lastModifiedBy>Jeff Handeland</cp:lastModifiedBy>
  <cp:lastPrinted>2016-05-20T18:43:15Z</cp:lastPrinted>
  <dcterms:created xsi:type="dcterms:W3CDTF">2001-12-12T13:10:00Z</dcterms:created>
  <dcterms:modified xsi:type="dcterms:W3CDTF">2017-03-16T15:05:24Z</dcterms:modified>
</cp:coreProperties>
</file>